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3"/>
  <workbookPr/>
  <mc:AlternateContent xmlns:mc="http://schemas.openxmlformats.org/markup-compatibility/2006">
    <mc:Choice Requires="x15">
      <x15ac:absPath xmlns:x15ac="http://schemas.microsoft.com/office/spreadsheetml/2010/11/ac" url="https://thkoelnde.sharepoint.com/sites/MasterprojektErweiterungPyWorld3/Freigegebene Dokumente/General/Vensim Modell/Finale Modelle/"/>
    </mc:Choice>
  </mc:AlternateContent>
  <xr:revisionPtr revIDLastSave="2038" documentId="14_{7426DC98-9496-4631-863D-381D82C198D6}" xr6:coauthVersionLast="47" xr6:coauthVersionMax="47" xr10:uidLastSave="{00525E55-2B04-9741-91B4-B12BC387DB97}"/>
  <bookViews>
    <workbookView xWindow="0" yWindow="660" windowWidth="29400" windowHeight="18460" activeTab="3" xr2:uid="{F25DE29C-0797-49BF-92E6-3109F5611994}"/>
  </bookViews>
  <sheets>
    <sheet name="Disclaimer" sheetId="6" r:id="rId1"/>
    <sheet name="Overview of variables" sheetId="1" r:id="rId2"/>
    <sheet name="Share of recyclable materials" sheetId="8" r:id="rId3"/>
    <sheet name="ECRR" sheetId="7" r:id="rId4"/>
    <sheet name="Material intesity RE extension" sheetId="5" r:id="rId5"/>
    <sheet name="LCOE Table" sheetId="4" r:id="rId6"/>
    <sheet name="PCRUMT" sheetId="3" r:id="rId7"/>
    <sheet name="Fraction of capital allocated t" sheetId="2" r:id="rId8"/>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43" i="4" l="1"/>
  <c r="L6" i="4"/>
  <c r="M8" i="4"/>
  <c r="N8" i="4"/>
  <c r="M11" i="4"/>
  <c r="L14" i="4"/>
  <c r="M16" i="4"/>
  <c r="N16" i="4"/>
  <c r="M19" i="4"/>
  <c r="L22" i="4"/>
  <c r="M24" i="4"/>
  <c r="N24" i="4"/>
  <c r="L30" i="4"/>
  <c r="M32" i="4"/>
  <c r="N32" i="4"/>
  <c r="M37" i="4"/>
  <c r="N37" i="4"/>
  <c r="S37" i="4"/>
  <c r="S33" i="4" s="1"/>
  <c r="J37" i="4"/>
  <c r="I37" i="4"/>
  <c r="H37" i="4"/>
  <c r="L37" i="4" s="1"/>
  <c r="J36" i="4"/>
  <c r="N36" i="4" s="1"/>
  <c r="I36" i="4"/>
  <c r="H36" i="4"/>
  <c r="L36" i="4" s="1"/>
  <c r="F36" i="4"/>
  <c r="J35" i="4"/>
  <c r="N35" i="4" s="1"/>
  <c r="I35" i="4"/>
  <c r="H35" i="4"/>
  <c r="F35" i="4"/>
  <c r="J34" i="4"/>
  <c r="I34" i="4"/>
  <c r="M34" i="4" s="1"/>
  <c r="H34" i="4"/>
  <c r="L34" i="4" s="1"/>
  <c r="F34" i="4"/>
  <c r="J33" i="4"/>
  <c r="N33" i="4" s="1"/>
  <c r="I33" i="4"/>
  <c r="H33" i="4"/>
  <c r="L33" i="4" s="1"/>
  <c r="F33" i="4"/>
  <c r="J32" i="4"/>
  <c r="I32" i="4"/>
  <c r="H32" i="4"/>
  <c r="L32" i="4" s="1"/>
  <c r="F32" i="4"/>
  <c r="J31" i="4"/>
  <c r="L31" i="4" s="1"/>
  <c r="I31" i="4"/>
  <c r="H31" i="4"/>
  <c r="F31" i="4"/>
  <c r="J30" i="4"/>
  <c r="N30" i="4" s="1"/>
  <c r="I30" i="4"/>
  <c r="M30" i="4" s="1"/>
  <c r="H30" i="4"/>
  <c r="F30" i="4"/>
  <c r="J29" i="4"/>
  <c r="N29" i="4" s="1"/>
  <c r="I29" i="4"/>
  <c r="H29" i="4"/>
  <c r="L29" i="4" s="1"/>
  <c r="F29" i="4"/>
  <c r="J28" i="4"/>
  <c r="N28" i="4" s="1"/>
  <c r="I28" i="4"/>
  <c r="H28" i="4"/>
  <c r="L28" i="4" s="1"/>
  <c r="F28" i="4"/>
  <c r="J27" i="4"/>
  <c r="N27" i="4" s="1"/>
  <c r="I27" i="4"/>
  <c r="H27" i="4"/>
  <c r="F27" i="4"/>
  <c r="J26" i="4"/>
  <c r="N26" i="4" s="1"/>
  <c r="I26" i="4"/>
  <c r="M26" i="4" s="1"/>
  <c r="H26" i="4"/>
  <c r="L26" i="4" s="1"/>
  <c r="F26" i="4"/>
  <c r="J25" i="4"/>
  <c r="N25" i="4" s="1"/>
  <c r="I25" i="4"/>
  <c r="H25" i="4"/>
  <c r="L25" i="4" s="1"/>
  <c r="F25" i="4"/>
  <c r="J24" i="4"/>
  <c r="I24" i="4"/>
  <c r="H24" i="4"/>
  <c r="L24" i="4" s="1"/>
  <c r="F24" i="4"/>
  <c r="J23" i="4"/>
  <c r="L23" i="4" s="1"/>
  <c r="I23" i="4"/>
  <c r="H23" i="4"/>
  <c r="F23" i="4"/>
  <c r="J22" i="4"/>
  <c r="N22" i="4" s="1"/>
  <c r="I22" i="4"/>
  <c r="M22" i="4" s="1"/>
  <c r="H22" i="4"/>
  <c r="F22" i="4"/>
  <c r="J21" i="4"/>
  <c r="N21" i="4" s="1"/>
  <c r="I21" i="4"/>
  <c r="H21" i="4"/>
  <c r="L21" i="4" s="1"/>
  <c r="F21" i="4"/>
  <c r="J20" i="4"/>
  <c r="N20" i="4" s="1"/>
  <c r="I20" i="4"/>
  <c r="H20" i="4"/>
  <c r="L20" i="4" s="1"/>
  <c r="F20" i="4"/>
  <c r="J19" i="4"/>
  <c r="N19" i="4" s="1"/>
  <c r="I19" i="4"/>
  <c r="H19" i="4"/>
  <c r="F19" i="4"/>
  <c r="J18" i="4"/>
  <c r="N18" i="4" s="1"/>
  <c r="I18" i="4"/>
  <c r="M18" i="4" s="1"/>
  <c r="H18" i="4"/>
  <c r="L18" i="4" s="1"/>
  <c r="F18" i="4"/>
  <c r="J17" i="4"/>
  <c r="N17" i="4" s="1"/>
  <c r="I17" i="4"/>
  <c r="H17" i="4"/>
  <c r="L17" i="4" s="1"/>
  <c r="F17" i="4"/>
  <c r="J16" i="4"/>
  <c r="I16" i="4"/>
  <c r="H16" i="4"/>
  <c r="L16" i="4" s="1"/>
  <c r="F16" i="4"/>
  <c r="J15" i="4"/>
  <c r="L15" i="4" s="1"/>
  <c r="I15" i="4"/>
  <c r="H15" i="4"/>
  <c r="F15" i="4"/>
  <c r="J14" i="4"/>
  <c r="N14" i="4" s="1"/>
  <c r="I14" i="4"/>
  <c r="M14" i="4" s="1"/>
  <c r="H14" i="4"/>
  <c r="F14" i="4"/>
  <c r="J13" i="4"/>
  <c r="N13" i="4" s="1"/>
  <c r="I13" i="4"/>
  <c r="H13" i="4"/>
  <c r="L13" i="4" s="1"/>
  <c r="F13" i="4"/>
  <c r="J12" i="4"/>
  <c r="N12" i="4" s="1"/>
  <c r="I12" i="4"/>
  <c r="H12" i="4"/>
  <c r="L12" i="4" s="1"/>
  <c r="F12" i="4"/>
  <c r="J11" i="4"/>
  <c r="N11" i="4" s="1"/>
  <c r="I11" i="4"/>
  <c r="H11" i="4"/>
  <c r="F11" i="4"/>
  <c r="J10" i="4"/>
  <c r="N10" i="4" s="1"/>
  <c r="I10" i="4"/>
  <c r="M10" i="4" s="1"/>
  <c r="H10" i="4"/>
  <c r="L10" i="4" s="1"/>
  <c r="F10" i="4"/>
  <c r="J9" i="4"/>
  <c r="N9" i="4" s="1"/>
  <c r="I9" i="4"/>
  <c r="H9" i="4"/>
  <c r="F9" i="4"/>
  <c r="J8" i="4"/>
  <c r="I8" i="4"/>
  <c r="H8" i="4"/>
  <c r="L8" i="4" s="1"/>
  <c r="F8" i="4"/>
  <c r="J7" i="4"/>
  <c r="L7" i="4" s="1"/>
  <c r="I7" i="4"/>
  <c r="H7" i="4"/>
  <c r="F7" i="4"/>
  <c r="J6" i="4"/>
  <c r="N6" i="4" s="1"/>
  <c r="I6" i="4"/>
  <c r="M6" i="4" s="1"/>
  <c r="H6" i="4"/>
  <c r="F6" i="4"/>
  <c r="J5" i="4"/>
  <c r="N5" i="4" s="1"/>
  <c r="I5" i="4"/>
  <c r="H5" i="4"/>
  <c r="L5" i="4" s="1"/>
  <c r="F5" i="4"/>
  <c r="J4" i="4"/>
  <c r="N4" i="4" s="1"/>
  <c r="I4" i="4"/>
  <c r="M4" i="4" s="1"/>
  <c r="H4" i="4"/>
  <c r="L4" i="4" s="1"/>
  <c r="F4" i="4"/>
  <c r="N34" i="4" l="1"/>
  <c r="M29" i="4"/>
  <c r="M21" i="4"/>
  <c r="M13" i="4"/>
  <c r="M5" i="4"/>
  <c r="M27" i="4"/>
  <c r="N31" i="4"/>
  <c r="N23" i="4"/>
  <c r="N15" i="4"/>
  <c r="N7" i="4"/>
  <c r="M31" i="4"/>
  <c r="M23" i="4"/>
  <c r="M15" i="4"/>
  <c r="T15" i="4" s="1"/>
  <c r="M7" i="4"/>
  <c r="T7" i="4" s="1"/>
  <c r="M28" i="4"/>
  <c r="M20" i="4"/>
  <c r="M12" i="4"/>
  <c r="M35" i="4"/>
  <c r="L35" i="4"/>
  <c r="L27" i="4"/>
  <c r="L19" i="4"/>
  <c r="L11" i="4"/>
  <c r="T11" i="4" s="1"/>
  <c r="M36" i="4"/>
  <c r="T5" i="4"/>
  <c r="T13" i="4"/>
  <c r="M33" i="4"/>
  <c r="M25" i="4"/>
  <c r="M17" i="4"/>
  <c r="T17" i="4" s="1"/>
  <c r="M9" i="4"/>
  <c r="T9" i="4" s="1"/>
  <c r="L9" i="4"/>
  <c r="S26" i="4"/>
  <c r="S28" i="4"/>
  <c r="S20" i="4"/>
  <c r="S22" i="4"/>
  <c r="T22" i="4" s="1"/>
  <c r="S27" i="4"/>
  <c r="S31" i="4"/>
  <c r="S36" i="4"/>
  <c r="S19" i="4"/>
  <c r="S32" i="4"/>
  <c r="S24" i="4"/>
  <c r="S29" i="4"/>
  <c r="S34" i="4"/>
  <c r="T34" i="4" s="1"/>
  <c r="S21" i="4"/>
  <c r="T21" i="4" s="1"/>
  <c r="S18" i="4"/>
  <c r="S23" i="4"/>
  <c r="S30" i="4"/>
  <c r="T30" i="4" s="1"/>
  <c r="S35" i="4"/>
  <c r="T29" i="4"/>
  <c r="T6" i="4"/>
  <c r="T16" i="4"/>
  <c r="T18" i="4"/>
  <c r="T26" i="4"/>
  <c r="T4" i="4"/>
  <c r="T8" i="4"/>
  <c r="T10" i="4"/>
  <c r="T12" i="4"/>
  <c r="T14" i="4"/>
  <c r="S25" i="4"/>
  <c r="T37" i="4" l="1"/>
  <c r="T36" i="4"/>
  <c r="T27" i="4"/>
  <c r="T28" i="4"/>
  <c r="T23" i="4"/>
  <c r="T33" i="4"/>
  <c r="T20" i="4"/>
  <c r="T35" i="4"/>
  <c r="T25" i="4"/>
  <c r="T32" i="4"/>
  <c r="T24" i="4"/>
  <c r="T19" i="4"/>
  <c r="T31" i="4"/>
  <c r="C8" i="5" l="1"/>
  <c r="D8" i="5" s="1"/>
  <c r="C15" i="5" s="1"/>
  <c r="C13" i="5"/>
  <c r="C11" i="5"/>
  <c r="C11" i="7"/>
  <c r="B21" i="2" l="1"/>
  <c r="B22" i="2"/>
  <c r="B23" i="2"/>
  <c r="B24" i="2" s="1"/>
  <c r="B25" i="2" s="1"/>
  <c r="J21" i="1"/>
  <c r="B26" i="2" l="1"/>
</calcChain>
</file>

<file path=xl/sharedStrings.xml><?xml version="1.0" encoding="utf-8"?>
<sst xmlns="http://schemas.openxmlformats.org/spreadsheetml/2006/main" count="596" uniqueCount="485">
  <si>
    <t>Original Version World3-03</t>
  </si>
  <si>
    <t>Variable</t>
  </si>
  <si>
    <t>Contents</t>
  </si>
  <si>
    <t>Comment</t>
  </si>
  <si>
    <t>Source</t>
  </si>
  <si>
    <t>per capita resource use mult table</t>
  </si>
  <si>
    <t>(0,0),(200,0.85),(400,2.6),(600,3.4),(800,3.8),(1000,4.1),(1200,4.4),(1400,4.7),(1600,5)</t>
  </si>
  <si>
    <t>All the information in the 'Original Version' section of World3-03 was copied from the official Vensim software that comes with the World3-03 model.</t>
  </si>
  <si>
    <t>(0,0),(200,0.85),(220,1),(440,1.8),(550,2.5)</t>
  </si>
  <si>
    <t>per capita resource use mult table material</t>
  </si>
  <si>
    <t>No Changes</t>
  </si>
  <si>
    <t>Table relating industrial output per capita to the resource use multiplier. The values are adjusted to better reflect real-world consumption patterns.</t>
  </si>
  <si>
    <t>per capita resource use mult table energy</t>
  </si>
  <si>
    <t>(0,0),(200,0.85),(220,1),(330,1.5),(440,1.4),(550,1.8),(660,2.2),(880,3.2),(1100,4.2),(1320,6)</t>
  </si>
  <si>
    <t>persistent pollution generation rate</t>
  </si>
  <si>
    <t>( persistent pollution generation industry + persistent pollution generation agriculture ) * ( persistent pollution generation factor )</t>
  </si>
  <si>
    <t>( persistent pollution generation industry + persistent pollution generation agriculture + persistent pollution generation industry energy ) * ( persistent pollution generation factor )</t>
  </si>
  <si>
    <t>(persistent pollution generation material industry + persistent pollution generation agriculture + persistent pollution generation energy industry ) * ( persistent pollution generation factor )</t>
  </si>
  <si>
    <t>The total rate of pollution from all sectors.</t>
  </si>
  <si>
    <t>persistent pollution generation industry</t>
  </si>
  <si>
    <t>per capita resource use multiplier * population * fraction of resources from persistent materials * industrial material emissions factor * industrial material toxicity index</t>
  </si>
  <si>
    <r>
      <t xml:space="preserve">per capita resource use multiplier </t>
    </r>
    <r>
      <rPr>
        <b/>
        <sz val="11"/>
        <color theme="1"/>
        <rFont val="Aptos Narrow"/>
        <family val="2"/>
        <scheme val="minor"/>
      </rPr>
      <t>material</t>
    </r>
    <r>
      <rPr>
        <sz val="11"/>
        <color theme="1"/>
        <rFont val="Aptos Narrow"/>
        <family val="2"/>
        <scheme val="minor"/>
      </rPr>
      <t xml:space="preserve">  * population * fraction of resources from persistent materials * industrial material emissions factor * industrial material toxicity index</t>
    </r>
  </si>
  <si>
    <t>persistent pollution generation material industry</t>
  </si>
  <si>
    <t>resource usage rate material * fraction of resources from persistent materials * industrial material toxicity index * (industrial material emissions factor)</t>
  </si>
  <si>
    <t>Pollution from material resources.</t>
  </si>
  <si>
    <t>persistent pollution generation industry energy</t>
  </si>
  <si>
    <r>
      <t xml:space="preserve">per capita resource use multiplier </t>
    </r>
    <r>
      <rPr>
        <b/>
        <sz val="11"/>
        <color theme="1"/>
        <rFont val="Aptos Narrow"/>
        <family val="2"/>
        <scheme val="minor"/>
      </rPr>
      <t>energy</t>
    </r>
    <r>
      <rPr>
        <sz val="11"/>
        <color theme="1"/>
        <rFont val="Aptos Narrow"/>
        <family val="2"/>
        <scheme val="minor"/>
      </rPr>
      <t xml:space="preserve"> * population * fraction of resources from persistent materials </t>
    </r>
    <r>
      <rPr>
        <b/>
        <sz val="11"/>
        <color theme="1"/>
        <rFont val="Aptos Narrow"/>
        <family val="2"/>
        <scheme val="minor"/>
      </rPr>
      <t>energy</t>
    </r>
    <r>
      <rPr>
        <sz val="11"/>
        <color theme="1"/>
        <rFont val="Aptos Narrow"/>
        <family val="2"/>
        <scheme val="minor"/>
      </rPr>
      <t xml:space="preserve"> *industrial material toxicity index * industrial material emissions factor </t>
    </r>
    <r>
      <rPr>
        <b/>
        <sz val="11"/>
        <color theme="1"/>
        <rFont val="Aptos Narrow"/>
        <family val="2"/>
        <scheme val="minor"/>
      </rPr>
      <t>energy</t>
    </r>
  </si>
  <si>
    <t>persistent pollution generation energy industry</t>
  </si>
  <si>
    <t>resource usage rate energy * fraction of resources from persistent fossil fuels *industrial material toxicity index * (industrial energy emissions factor)</t>
  </si>
  <si>
    <t>Pollution from the fossil fuel energy industry.</t>
  </si>
  <si>
    <t>industrial material toxicity index</t>
  </si>
  <si>
    <t>Toxicity index for industrial materials.</t>
  </si>
  <si>
    <t>industrial material emissions factor</t>
  </si>
  <si>
    <t>0.1</t>
  </si>
  <si>
    <t>0.15</t>
  </si>
  <si>
    <t>Emissions factor for industrial materials.</t>
  </si>
  <si>
    <t>industrial material emissions factor energy</t>
  </si>
  <si>
    <t>0.85</t>
  </si>
  <si>
    <t>industrial energy emissions factor</t>
  </si>
  <si>
    <t>Emissions factor of the industry (Energy).</t>
  </si>
  <si>
    <t>fraction of resources from persistent materials</t>
  </si>
  <si>
    <t>0.02</t>
  </si>
  <si>
    <t>0.008</t>
  </si>
  <si>
    <t>fraction of resources from persistent materials energy</t>
  </si>
  <si>
    <t>0.003294</t>
  </si>
  <si>
    <t>fraction of resources from persistent fossil fuels</t>
  </si>
  <si>
    <t>Fraction of persistent pollutants from fossil fuels.</t>
  </si>
  <si>
    <t>fraction of industrial capital allocated to obtaining resources</t>
  </si>
  <si>
    <t>IF THEN ELSE ( Time &gt;= fraction of industrial capital allocated to obtaining resources switch time ,  fraction of capital allocated to obtaining resources 2 , fraction of capital allocated to obtaining resources 1 )</t>
  </si>
  <si>
    <t>IF THEN ELSE( (fraction of industrial capital allocated to obtaining material resources + fraction of industrial capital allocated to obtaining energy resources) &lt;= 1 , (fraction of industrial capital allocated to obtaining material resources + fraction of industrial capital allocated to obtaining energy resources) , 1 )</t>
  </si>
  <si>
    <t xml:space="preserve">MIN(1, fraction of industrial capital allocated to obtaining material resources + fraction of industrial capital allocated to obtaining energy resources * MAX ( 0 , 1- RE share delayed))	</t>
  </si>
  <si>
    <t>Capital allocation for resource extraction, split by energy and material.</t>
  </si>
  <si>
    <t>fraction of capital allocated to obtaining resources 1</t>
  </si>
  <si>
    <t>fraction of capital allocated to obtaining resources 1 table ( fraction of resources remaining)</t>
  </si>
  <si>
    <t>fraction of capital allocated to obtaining material resources 1</t>
  </si>
  <si>
    <t>fraction of capital allocated to obtaining material resources 1 table ( fraction of material resources remaining )</t>
  </si>
  <si>
    <t xml:space="preserve"> No changes</t>
  </si>
  <si>
    <t>fraction of capital allocated to obtaining energy resources 1</t>
  </si>
  <si>
    <t>fraction of capital allocated to obtaining energy resources 1 table ( fraction of energy resources remaining)</t>
  </si>
  <si>
    <t>No changes</t>
  </si>
  <si>
    <t>fraction of capital allocated to obtaining resources 2</t>
  </si>
  <si>
    <t>fraction of capital allocated to obtaining resources 2 table ( fraction of resources remaining )</t>
  </si>
  <si>
    <t>fraction of capital allocated to obtaining material resources 2</t>
  </si>
  <si>
    <t>fraction of capital allocated to obtaining material resources 2 table ( fraction of material resources remaining )</t>
  </si>
  <si>
    <t>fraction of capital allocated to obtaining energy resources 2</t>
  </si>
  <si>
    <t>fraction of capital allocated to obtaining energy resources 2 table ( fraction of energy resources remaining )</t>
  </si>
  <si>
    <t>fraction of capital allocated to obtaining resources 1 table</t>
  </si>
  <si>
    <t>(0,1),(0.1,0.9),(0.2,0.7),(0.3,0.5),(0.4,0.2),(0.5,0.1),(0.6,0.05),(0.7,0.05),(0.8,0.05),(0.9,0.05),(1,0.05)</t>
  </si>
  <si>
    <t>fraction of capital allocated to obtaining material resources 1 table</t>
  </si>
  <si>
    <t>(0,1),(0.1,0.378),(0.2,0.294),(0.3,0.21),(0.4,0.084),(0.5,0.042),(0.6,0.021),(0.7,0.021),(0.8,0.021),0.9,0.021),(1,0.021)</t>
  </si>
  <si>
    <t>fraction of capital allocated to obtaining energy resources 1 table</t>
  </si>
  <si>
    <t>(0,1),(0.1,0.522),(0.2,0.406),(0.3,0.29),(0.4,0.116),(0.5,0.058),(0.6,0.029),(0.7,0.029),(0.8,0.029),0.9,0.029),(1,0.029)</t>
  </si>
  <si>
    <t>fraction of capital allocated to obtaining resources 2 table</t>
  </si>
  <si>
    <t>(0,1),(0.1,0.2),(0.2,0.1),(0.3,0.05),(0.4,0.05),(0.5,0.05),(0.6,0.05),(0.7,0.05),(0.8,0.05),(0.9,0.05),(1,0.05)</t>
  </si>
  <si>
    <t>fraction of capital allocated to obtaining material resources 2 table</t>
  </si>
  <si>
    <t>(0,1),(0.1,0.084),(0.2,0.042),(0.3,0.021),(0.4,0.021),(0.5,0.021),(0.6,0.021),(0.7,0.021),(0.8,0.021), (0.9,0.021),(1,0.021)</t>
  </si>
  <si>
    <t>fraction of capital allocated to obtaining energy resources 2 table</t>
  </si>
  <si>
    <t>(0,1),(0.1,0.116),(0.2,0.058),(0.3,0.029),(0.4,0.029),(0.5,0.029),(0.6,0.029),(0.7,0.029),(0.8,0.029), (0.9,0.029),(1,0.029)</t>
  </si>
  <si>
    <t>fraction of resources remaining</t>
  </si>
  <si>
    <t>Nonrenewable Resources  / initial nonrenewable resources</t>
  </si>
  <si>
    <t>fraction of material resources remaining</t>
  </si>
  <si>
    <t>Nonrenewable material Resources   / initial nonrenewable material resources</t>
  </si>
  <si>
    <t>fraction of energy resources remaining</t>
  </si>
  <si>
    <t>Nonrenewable energy Resources  / initial nonrenewable energy resources</t>
  </si>
  <si>
    <t>Nonrenewable energy Resources / initial nonrenewable energy resources</t>
  </si>
  <si>
    <t>Remaining fraction of energy resources.</t>
  </si>
  <si>
    <t>per capita resource use multiplier</t>
  </si>
  <si>
    <t>per capita resource use mult table ( industrial output per capita/GDP pc unit )</t>
  </si>
  <si>
    <t>per capita resource use multiplier material</t>
  </si>
  <si>
    <t>per capita resource use mult table material ( industrial output per capita/GDP pc unit )</t>
  </si>
  <si>
    <t>per capita resource use mult table material ( industrial output per capita/GDP pc unit )+ material consumption by RE extension delayed/population</t>
  </si>
  <si>
    <t>Material resource consumption per capita, including material for RE expansion.</t>
  </si>
  <si>
    <t>per capita resource use multiplier energy</t>
  </si>
  <si>
    <t>per capita resource use mult table energy ( industrial output per capita/GDP pc unit )</t>
  </si>
  <si>
    <t xml:space="preserve">per capita resource use multiplier energy	</t>
  </si>
  <si>
    <t>per capita resource use mult table energy ( industrial output per capita/GDP pc unit ) + (energy consumption by recycling in TWh/(population*energy use reference))</t>
  </si>
  <si>
    <t>Energy consumption per capita, including energy for recycling.</t>
  </si>
  <si>
    <t>resource usage rate</t>
  </si>
  <si>
    <t>( ( ( population ) ) * ( per capita resource use multiplier ) ) * ( resource use factor )</t>
  </si>
  <si>
    <t>resource usage rate material</t>
  </si>
  <si>
    <t>( ( ( population ) ) * ( per capita resource use multiplier material ) ) * ( resource use factor )</t>
  </si>
  <si>
    <t>( ( ( population ) ) * ( per capita resource use multiplier material ) ) * ( resource use factor ) - recycled material</t>
  </si>
  <si>
    <t>The consumption of  (non-recycled) materials.</t>
  </si>
  <si>
    <t>resource usage rate energy</t>
  </si>
  <si>
    <t>( ( ( population ) ) * ( per capita resource use multiplier energy ) ) * ( resource use factor )</t>
  </si>
  <si>
    <t>MAX((( ( ( population ) ) * ( per capita resource use multiplier energy )) * ( resource use factor ))*(1-actual share of RE) +0*RE generation of current year *energy use reference,0)</t>
  </si>
  <si>
    <t>Consumption of non-renewable energy resources.</t>
  </si>
  <si>
    <t>initial nonrenewable resources</t>
  </si>
  <si>
    <t>1e+12</t>
  </si>
  <si>
    <t>initial nonrenewable material resources</t>
  </si>
  <si>
    <t>initial nonrenewable energy resources</t>
  </si>
  <si>
    <t>Nonrenewable Resources</t>
  </si>
  <si>
    <t>initial nonrenewable resources  ( - resource usage rate  )</t>
  </si>
  <si>
    <t xml:space="preserve">Nonrenewable material Resources </t>
  </si>
  <si>
    <t>initial nonrenewable material resources  ( - resource usage rate material  )</t>
  </si>
  <si>
    <t>Nonrenewable material Resources</t>
  </si>
  <si>
    <t>INTEG ( ( - resource usage rate material ), initial nonrenewable material resources)</t>
  </si>
  <si>
    <t>Stock of non-renewable material resources.</t>
  </si>
  <si>
    <t>Nonrenewable energy Resources</t>
  </si>
  <si>
    <t>initial nonrenewable energy resources  ( - resource usage rate energy  )</t>
  </si>
  <si>
    <t>INTEG ( ( - resource usage rate energy ), initial nonrenewable energy resources)</t>
  </si>
  <si>
    <t>Stock of non-renewable energy resources.</t>
  </si>
  <si>
    <t>accumulated RE capacity</t>
  </si>
  <si>
    <t>INTEG ( RE capacity extension, 0)</t>
  </si>
  <si>
    <t>Total RE capacity ever installed (TW).</t>
  </si>
  <si>
    <t>actual share of RE</t>
  </si>
  <si>
    <t>MIN(1,RE generation of current year / (desired RE generation/desired share of RE ))</t>
  </si>
  <si>
    <t>The actual share of renewables in the total energy mix.</t>
  </si>
  <si>
    <t>cost of desired RE extension</t>
  </si>
  <si>
    <t>desired RE extension * cost per TW of RE extension /value of 1986$ in 2023</t>
  </si>
  <si>
    <t>cost of fossil energy</t>
  </si>
  <si>
    <t>Industrial capital per TWh of fossil energy * ct to $ / kW to TW * value of 1986$ in 2023</t>
  </si>
  <si>
    <t>cost of RE extension in 1968$</t>
  </si>
  <si>
    <t>RE capacity extension * cost per TW of RE extension /value of 1986$ in 2023</t>
  </si>
  <si>
    <t>cost per TW of RE extension</t>
  </si>
  <si>
    <t>DELAY FIXED( cost of RE extension in 1968$, 0.5 , 0)</t>
  </si>
  <si>
    <t>desired RE extension</t>
  </si>
  <si>
    <t>SMOOTH(IF THEN ELSE( desired RE generation + RE generation reduction of current year &gt; RE generation of current year , (desired RE generation + RE generation reduction of current year - RE generation of current year) / (RE FLH *one year ), 0),RE extension smoothing time )</t>
  </si>
  <si>
    <t>desired RE generation</t>
  </si>
  <si>
    <t>energy use reference*desired share of RE*per capita resource use multiplier energy *population</t>
  </si>
  <si>
    <t>The target value for RE generation, based on total energy demand and the desired share of RE.</t>
  </si>
  <si>
    <t>desired share of RE</t>
  </si>
  <si>
    <t>0.1* (1-fraction of energy resources remaining) + 0.7* (1 / ( 1 + EXP( -1.7 * "z-factor" ))) + 0.2*MIN(1,persistent pollution index/7)</t>
  </si>
  <si>
    <t>This is the target share for renewable energy. It is driven by three factors: the scarcity of remaining energy resources, the economic competitiveness of RE versus fossil fuels (the 'z-factor'), and the pressure from persistent pollution.</t>
  </si>
  <si>
    <t>energy consumption by recycling in TWh</t>
  </si>
  <si>
    <t>recycling rate *energy consumption by recycling reference *per capita resource use multiplier material / per capita resource use multiplier 1970 *population/population 1970</t>
  </si>
  <si>
    <t>The energy demand of recycling, which scales with the recycling rate and material wealth.</t>
  </si>
  <si>
    <t>energy consumption by recycling reference</t>
  </si>
  <si>
    <t>The energy needed to recycle all of the waste in the world in 1970 in TWh</t>
  </si>
  <si>
    <t>energy use reference</t>
  </si>
  <si>
    <t>13000 / 1e+09</t>
  </si>
  <si>
    <t>Energy Use of one Person 1970</t>
  </si>
  <si>
    <t>fraction of industrial capital allocated to obtaining material resources</t>
  </si>
  <si>
    <t>IF THEN ELSE ( Time &gt;= fraction of industrial capital allocated to obtaining resources switch time , fraction of capital allocated to obtaining material resources 2 , fraction of capital allocated to obtaining material resources 1 )</t>
  </si>
  <si>
    <t>fraction of industrial capital allocated to obtaining energy resources</t>
  </si>
  <si>
    <t>IF THEN ELSE ( Time &gt;= fraction of industrial capital allocated to obtaining resources switch time , fraction of capital allocated to obtaining energy resources 2 , fraction of capital allocated to obtaining energy resources 1 )</t>
  </si>
  <si>
    <t>fraction of capital allocated to obtaining material resources 1 table ( fraction of material resources remaining)</t>
  </si>
  <si>
    <t>Industrial capital needed for fossil fuels</t>
  </si>
  <si>
    <t>fraction of industrial capital allocated to obtaining energy resources *Industrial Capital</t>
  </si>
  <si>
    <t>Capital demand for the extraction of fossil fuels.</t>
  </si>
  <si>
    <t>Industrial capital per TWh of fossil energy</t>
  </si>
  <si>
    <t>Industrial capital needed for fossil fuels / (energy use reference*per capita resource use multiplier energy *one year *population)</t>
  </si>
  <si>
    <t>Specific capital demand per TWh of fossil energy.</t>
  </si>
  <si>
    <t>industrial output</t>
  </si>
  <si>
    <t>(Industrial Capital * (1 - fraction of industrial capital allocated to obtaining resources) -(cost of RE extension delayed*one year)) * capacity utilization fraction / industrial capital output ratio</t>
  </si>
  <si>
    <t>industrial output without RE</t>
  </si>
  <si>
    <t>Industrial Capital * (1 - fraction of industrial capital allocated to obtaining resources) * capacity utilization fraction / industrial capital output ratio</t>
  </si>
  <si>
    <t>Auxiliary variable: Industrial output before deducting RE costs.</t>
  </si>
  <si>
    <t>LCOE of RE extension</t>
  </si>
  <si>
    <t>LCOE Table RE (accumulated RE capacity/accumulated RE capacity unit *1000) *RE integration cost factor</t>
  </si>
  <si>
    <t>LCOE Table RE</t>
  </si>
  <si>
    <t>((500,4), (600,6), ... , (512000, 2.01))</t>
  </si>
  <si>
    <t>Lookup table for LCOE based on cumulative capacity in GW.</t>
  </si>
  <si>
    <t>material consumption by RE extension</t>
  </si>
  <si>
    <t>RE capacity extension*RE extension material intensity</t>
  </si>
  <si>
    <t>The direct material flow required for building new RE plants.</t>
  </si>
  <si>
    <t>material consumption by RE extension delayed</t>
  </si>
  <si>
    <t>DELAY FIXED( material consumption by RE extension , 0.5 , 0 )</t>
  </si>
  <si>
    <t>material lifetime delay</t>
  </si>
  <si>
    <t>Lifetime of material goods (years).</t>
  </si>
  <si>
    <t>max RE cost as share of Industrial Capital</t>
  </si>
  <si>
    <t>0.25</t>
  </si>
  <si>
    <t>Maximum share of industrial capital that can be spent on RE expansion.</t>
  </si>
  <si>
    <t>per capita resource use multiplier 1970</t>
  </si>
  <si>
    <t>population 1970</t>
  </si>
  <si>
    <t>3.7e+09</t>
  </si>
  <si>
    <t>World population in 1970.</t>
  </si>
  <si>
    <t>RE capacity extension</t>
  </si>
  <si>
    <t>IF THEN ELSE ( cost of desired RE extension/industrial output without RE &lt; max RE cost as share of Industrial Capital , desired RE extension , desired RE extension / (cost of desired RE extension/industrial output without RE/max RE cost as share of Industrial Capital ))</t>
  </si>
  <si>
    <t>Annual addition of RE capacity (TW/year), economically limited.</t>
  </si>
  <si>
    <t>RE capacity reduction</t>
  </si>
  <si>
    <t>DELAY FIXED( RE capacity extension, RE Lifetime , 0 )</t>
  </si>
  <si>
    <t>Decommissioning of RE plants after reaching their lifetime (TW/year).</t>
  </si>
  <si>
    <t>RE extension material intensity</t>
  </si>
  <si>
    <t>7.5e+08</t>
  </si>
  <si>
    <t>Material intensity of RE expansion (Resource units/TW).</t>
  </si>
  <si>
    <t>RE extension smoothing time</t>
  </si>
  <si>
    <t>Smoothing time for RE expansion (years).</t>
  </si>
  <si>
    <t>RE FLH</t>
  </si>
  <si>
    <t>Full Load Hours (hours/year).</t>
  </si>
  <si>
    <t>RE generation of current year</t>
  </si>
  <si>
    <t>RE stock * RE FLH</t>
  </si>
  <si>
    <t>Actual electricity generation from RE in the current year (TWh/year).</t>
  </si>
  <si>
    <t>RE generation reduction of current year</t>
  </si>
  <si>
    <t>RE capacity reduction * RE FLH *one year</t>
  </si>
  <si>
    <t>Reduction in RE generation due to decommissioning of plants (TWh/year).</t>
  </si>
  <si>
    <t>RE integration cost factor</t>
  </si>
  <si>
    <t>1.4</t>
  </si>
  <si>
    <t>Factor for additional grid integration costs of RE.</t>
  </si>
  <si>
    <t>RE Lifetime</t>
  </si>
  <si>
    <t>Lifetime of RE plants (years).</t>
  </si>
  <si>
    <t>RE share delayed</t>
  </si>
  <si>
    <t>DELAY FIXED ( actual share of RE , 0.5 , 0 )</t>
  </si>
  <si>
    <t>Time-delayed share of RE to avoid simultaneous dependencies.</t>
  </si>
  <si>
    <t>RE stock</t>
  </si>
  <si>
    <t>INTEG (RE capacity extension-RE capacity reduction, 0)</t>
  </si>
  <si>
    <t>Stock of RE capacity in TW.</t>
  </si>
  <si>
    <t>recycled material</t>
  </si>
  <si>
    <t>(used materials * recycling rate)</t>
  </si>
  <si>
    <t>The total amount of material recovered through recycling (Resource units/year).</t>
  </si>
  <si>
    <t>recycling delay</t>
  </si>
  <si>
    <t>recycling rate</t>
  </si>
  <si>
    <t>DELAY3( ((1-fraction of material resources remaining) * 0.3) +((fraction of industrial capital allocated to obtaining material resources) * 0.7) ,recycling delay)</t>
  </si>
  <si>
    <t>The rate of recycling, dependent on resource scarcity and investment.</t>
  </si>
  <si>
    <t>share of industrial output that desired RE extension would cost</t>
  </si>
  <si>
    <t>cost of desired RE extension /industrial output without RE</t>
  </si>
  <si>
    <t>Share of the cost of desired RE expansion relative to industrial output.</t>
  </si>
  <si>
    <t>share of material consumption by RE</t>
  </si>
  <si>
    <t>material consumption by RE extension delayed/population / per capita resource use multiplier material</t>
  </si>
  <si>
    <t>Share of material consumption for RE in total material consumption.</t>
  </si>
  <si>
    <t>share of recyclable materials</t>
  </si>
  <si>
    <t>0.9</t>
  </si>
  <si>
    <t>The fraction of materials that can be recycled.</t>
  </si>
  <si>
    <t>used materials</t>
  </si>
  <si>
    <t>DELAY FIXED( (resource usage rate material + recycled material) * share of recyclable materials * (1 - industrial material emissions factor), material lifetime delay, 0 )</t>
  </si>
  <si>
    <t>The amount of material that becomes available for recycling after its lifetime.</t>
  </si>
  <si>
    <t>value of 1986$ in 2023</t>
  </si>
  <si>
    <t>8.76</t>
  </si>
  <si>
    <t>Inflation factor from 1986 to 2023 Dollars.</t>
  </si>
  <si>
    <t>z-factor</t>
  </si>
  <si>
    <t>(cost of fossil energy - LCOE of RE extension) / SQRT((0.5*cost of fossil energy )^2 + (0.5*LCOE of RE extension)^2)</t>
  </si>
  <si>
    <t>Competition factor between fossil and renewable energy, assuming a 50% standard deviation.</t>
  </si>
  <si>
    <t>cost of RE extension delayed</t>
  </si>
  <si>
    <t>Time-delayed cost of RE expansion to avoid simultaneous dependencies.</t>
  </si>
  <si>
    <t>Bauxitlagerstätten - Lexikon der Geowissenschaften</t>
  </si>
  <si>
    <t>Fraction of capital allocated to obtaining resources tables</t>
  </si>
  <si>
    <t>Chrom</t>
  </si>
  <si>
    <t>Nickel</t>
  </si>
  <si>
    <t>Mangan Preis, Geschichte, Vorkommen, Gewinnung und Anwendung | Institut für Seltene Erden und Metalle</t>
  </si>
  <si>
    <t>Nickel: Die alte Wirtschaft aufbauen, die neue antreiben | ElementumMetals</t>
  </si>
  <si>
    <t>Gewinnung von Erdöl</t>
  </si>
  <si>
    <t>Kohle – Entstehung, Arten &amp; Förderung | Glossar</t>
  </si>
  <si>
    <t>Wie wird Eisenerz abgebaut? Ein schrittweiser Prozess erklärt – Prominer (Shanghai) Mining Technology Co., Ltd.</t>
  </si>
  <si>
    <t>Gewinnung – Kupferverband</t>
  </si>
  <si>
    <t>Aluminum (Bauxite)</t>
  </si>
  <si>
    <t>low to medium</t>
  </si>
  <si>
    <t>Open-pit mining</t>
  </si>
  <si>
    <r>
      <t>à</t>
    </r>
    <r>
      <rPr>
        <sz val="11"/>
        <color rgb="FF000000"/>
        <rFont val="Arial"/>
        <family val="2"/>
      </rPr>
      <t xml:space="preserve"> Large near-surface deposits</t>
    </r>
  </si>
  <si>
    <t>Iron</t>
  </si>
  <si>
    <t>medium</t>
  </si>
  <si>
    <t>Open-pit mining (possibly underground mining)</t>
  </si>
  <si>
    <t>Raw material</t>
  </si>
  <si>
    <t>Effort</t>
  </si>
  <si>
    <t>Explanation</t>
  </si>
  <si>
    <t>Copper</t>
  </si>
  <si>
    <t>Manganese</t>
  </si>
  <si>
    <t>Chromium</t>
  </si>
  <si>
    <t>Coal</t>
  </si>
  <si>
    <t>Oil</t>
  </si>
  <si>
    <t>high</t>
  </si>
  <si>
    <t>medium to high</t>
  </si>
  <si>
    <t>very high</t>
  </si>
  <si>
    <t>Underground mining (possibly open-pit mining)</t>
  </si>
  <si>
    <r>
      <t>à</t>
    </r>
    <r>
      <rPr>
        <sz val="11"/>
        <color rgb="FF000000"/>
        <rFont val="Arial"/>
        <family val="2"/>
      </rPr>
      <t>Low concentration</t>
    </r>
  </si>
  <si>
    <t>Open-pit and underground mining</t>
  </si>
  <si>
    <t>Deep drilling</t>
  </si>
  <si>
    <t>Source for quantities</t>
  </si>
  <si>
    <t>World energy consumption 1800-2000: the results - Encyclopédie de l'énergie</t>
  </si>
  <si>
    <t>Energy Institute - Statistical Review of World Energy (2025) – with major processing by Our World in Data. “Oil consumption” [dataset]. Energy Institute, “Statistical Review of World Energy” [original data]. Retrieved September 15, 2025 from https://archive.ourworldindata.org/20250909-093708/grapher/oil-consumption-by-country.html (archived on September 9, 2025).</t>
  </si>
  <si>
    <t>Minerals Data Explorer - Our World in Data</t>
  </si>
  <si>
    <t>Circular Economy and Energy Transition (CE &amp; ET) model</t>
  </si>
  <si>
    <t>Disaggregated and Updated Resource Stocks (DURS) model</t>
  </si>
  <si>
    <t>Updated Resource Stock model</t>
  </si>
  <si>
    <t>Analogous to the previous aggregated calculation</t>
  </si>
  <si>
    <t>Replaced the aggregated pollution generation from industry with the sum of the disaggregated ones</t>
  </si>
  <si>
    <t>Halved since total resource units doubled</t>
  </si>
  <si>
    <t>Share of material that eventually enters the environment: For fossil fuels it is assumed that is everything that is not ash or gets caught by catalyzers. Ash contents from fuels of materials plus a margin by own assumption is used to determine the value.</t>
  </si>
  <si>
    <t>https://www.enargus.de/pub/bscw.cgi/d774-2/*/*/Aschegehalt%20eines%20Energieträgers?op=Wiki.getwiki</t>
  </si>
  <si>
    <t>Share of material that eventually enters the environment: For materials an assumption is made based in mining losses.</t>
  </si>
  <si>
    <t>https://www.tandfonline.com/doi/full/10.1080/17480930.2021.1949878</t>
  </si>
  <si>
    <t>Own assumption to establish a 70/30 pollution impact between energy and material ressources while maintaining the overall pollution. The 70/30 pollution is based in heavy metal and pop pullution from energy and manufacturing sectors listed in the sources.</t>
  </si>
  <si>
    <t>https://www.umweltbundesamt.de/sites/default/files/medien/361/dokumente/2023_01_26_em_entwicklung_in_d_trendtabelle_hm_v1.0.xlsx, https://www.umweltbundesamt.de/sites/default/files/medien/361/dokumente/2024_07_03_em_entwicklung_in_d_trendtabelle_pop_v1.1.xlsx</t>
  </si>
  <si>
    <t>New table, further information to be found in the respective sheet</t>
  </si>
  <si>
    <t>New table, further information to be found in the respective sheet. Policy scenario not considered, therefore identical to table 1</t>
  </si>
  <si>
    <t>New table, further information to be found in the respective sheet. Policy scenario not considered, therefore identical to table 2</t>
  </si>
  <si>
    <t>Assumption from original publication is kept, one resource units keeps representing the average consumption of a person in 1970. Only now one unit either represents material or energy consumption</t>
  </si>
  <si>
    <t>Total  cost of the desired RE expansion for current year ($/year).</t>
  </si>
  <si>
    <t>Cost of fossil energy (ct/kWh). For comparability with  LCOE of RE</t>
  </si>
  <si>
    <t>Actual cost of RE expansion per year, normalized to 1968 Dollars for substraction from industrial capital.</t>
  </si>
  <si>
    <t>Time-delayed costs of RE expansion to prevent interdepency errors.</t>
  </si>
  <si>
    <t>Smoothed, desired addition of RE (TW/year) to reach targets. Calculated by comparing desired generation with current generation and depreciation, FLH of installations and smoothed to account for interia of global industry.</t>
  </si>
  <si>
    <t>https://www.iea.org/reports/key-world-energy-statistics-2021</t>
  </si>
  <si>
    <t>Industrial output, with industrial capital being reduced by the costs of RE expansion analogously to how it is reduced by fossil fuel and material extraction.</t>
  </si>
  <si>
    <t>Levelized Cost of Energy (LCOE) for RE, which changes with increasing installed capacity (historic values  + learning curve).</t>
  </si>
  <si>
    <t>See additional sheed "LCOE Table" for details</t>
  </si>
  <si>
    <t>Delayed material consumption for RE. To prevent interdependency errors.</t>
  </si>
  <si>
    <t xml:space="preserve">own assumption to prevent overspending on capacity expansion, especially with declining overall economy. </t>
  </si>
  <si>
    <t>Reference value for per capita resource use in 1970. PCRUM is based on the p.c. consumption from 1970 resembling 1 resource unit. This auxilary parameter is for unit consistency in calculations.</t>
  </si>
  <si>
    <t>https://data.worldbank.org/indicator/SP.POP.TOTL</t>
  </si>
  <si>
    <t>Own assumption to account for intertia of global industry</t>
  </si>
  <si>
    <t>Approximate average value for pv and wind installations based on https://www.sciencedirect.com/science/article/pii/S0959652619333360</t>
  </si>
  <si>
    <t>Based on: https://www.researchgate.net/publication/320934781_Global_Energy_System_Based_on_100_Renewable_Energy_-_Power_Sector_Introduction_to_the_study, https://iea.blob.core.windows.net/assets/60fcd1dd-d112-469b-87de-20d39227df3d/WorldEnergyInvestment2024.pdf</t>
  </si>
  <si>
    <t>Value for pv and wind installations based on: https://eta-publications.lbl.gov/sites/default/files/wind_useful_life_report.pdf,https://iea-pvps.org/wp-content/uploads/2022/11/IEA-PVPS-Report-T13-25-2022-OandM-Guidelines.pdf ,https://docs.nrel.gov/docs/fy22osti/82148.pdf</t>
  </si>
  <si>
    <t>Own assumption</t>
  </si>
  <si>
    <t>Time delay in the recycling system (years). To account for intertia</t>
  </si>
  <si>
    <t>https://www.minneapolisfed.org/about-us/monetary-policy/inflation-calculator</t>
  </si>
  <si>
    <t>See additional sheet "Material intensity RE extension" for further information</t>
  </si>
  <si>
    <t>Z-Test based on https://zenodo.org/records/14646799</t>
  </si>
  <si>
    <t>Own assumption with cost dominance based on https://iea.blob.core.windows.net/assets/60fcd1dd-d112-469b-87de-20d39227df3d/WorldEnergyInvestment2024.pdf, logistic probability function based on https://jjmie.hu.edu.jo/vol-13-4/JJMIE-2019-13-4.pdf</t>
  </si>
  <si>
    <t>For further information see sheet "PCRUMT"</t>
  </si>
  <si>
    <t>Table relating economic welfare to energy use per capita. For further information see sheet "PCRUMT"</t>
  </si>
  <si>
    <t>Table relating economic welfare to material use per capita. For further information see sheet "PCRUMT"</t>
  </si>
  <si>
    <t xml:space="preserve">Material: </t>
  </si>
  <si>
    <t>91% Iron ( 3,3% Aluminum, 1,5 % Manganese, 1,5% Copper, 0,7% Chromium)</t>
  </si>
  <si>
    <t>64% Coal + 36% Oil</t>
  </si>
  <si>
    <t>Energy:</t>
  </si>
  <si>
    <t>Material:</t>
  </si>
  <si>
    <t>Composition:</t>
  </si>
  <si>
    <t>Sum:</t>
  </si>
  <si>
    <t>Energy [%]:</t>
  </si>
  <si>
    <t>Material [%]:</t>
  </si>
  <si>
    <t>Sum [%]:</t>
  </si>
  <si>
    <t>Wind: 47,5%, PV 47,5 %, Hydro 5%</t>
  </si>
  <si>
    <t>energy consumption by recycling reference (ECRR)</t>
  </si>
  <si>
    <t>5.46 e+6</t>
  </si>
  <si>
    <t>1.2 e+7</t>
  </si>
  <si>
    <t>8.2 e+6</t>
  </si>
  <si>
    <t>2.0 e+7</t>
  </si>
  <si>
    <t>1.91 e+6</t>
  </si>
  <si>
    <t>4.1 e+7</t>
  </si>
  <si>
    <t>6.28 e+5</t>
  </si>
  <si>
    <t>3.6 e+6</t>
  </si>
  <si>
    <t>9.65 e+6</t>
  </si>
  <si>
    <t>7.0 e+7</t>
  </si>
  <si>
    <t>5.9 e+6</t>
  </si>
  <si>
    <t>2.2 e+7</t>
  </si>
  <si>
    <t>Steel</t>
  </si>
  <si>
    <t>Zinc</t>
  </si>
  <si>
    <t>Chrome</t>
  </si>
  <si>
    <t>Aluminium</t>
  </si>
  <si>
    <t>TWh</t>
  </si>
  <si>
    <t>Global waste generation 1970</t>
  </si>
  <si>
    <t>https://www.pius-info.de/dokumente/download/eutech_0909_leitfaden_energieeff.pdf</t>
  </si>
  <si>
    <t>Energy consumption for recycling per tonne of waste</t>
  </si>
  <si>
    <t>kWh/t</t>
  </si>
  <si>
    <t>tonnes</t>
  </si>
  <si>
    <t>global energy consumption for recycling in 1970</t>
  </si>
  <si>
    <t>Waste management evolution in the last five decades in developing countries – A review - PMC</t>
  </si>
  <si>
    <t>Source:</t>
  </si>
  <si>
    <t>Source information to be found in the respective sheet (ECRR).</t>
  </si>
  <si>
    <t>https://www.oecd.org/content/dam/oecd/en/publications/reports/2015/02/material-resources-productivity-and-the-environment_g1g27386/9789264190504-en.pdf</t>
  </si>
  <si>
    <t>This Excel file is an official supplement to the report “Extending the Limits to Growth: Evaluating the Impacts of Energy Transition and Circular Economy in the World3 Model” by Backeshoff et al. .
It provides additional documentation and background information on model variables, parameters, and their sources.
The purpose of this file is to ensure transparency and reproducibility:
Each new variable used in the extended World3 model is linked to its respective source(s).
In cases where no single source provided sufficient detail, supplementary calculations are documented in dedicated sheets.
References to literature, reports, and databases are included to allow readers to trace the empirical basis of all parameter values.
This file is to be used in conjunction with the above-mentioned report. It does not constitute an independent publication and should be cited accordingly.</t>
  </si>
  <si>
    <t>implementation in the model is based on the assumption that with growing material consumption waste grows accordingly</t>
  </si>
  <si>
    <t>Steel demand is used as a proxy for it's dominance in resource use. (Concrete yields similar numbers but its source materials are available in vast quantities.)</t>
  </si>
  <si>
    <t>Weight</t>
  </si>
  <si>
    <t>Steel demand (t/MW)</t>
  </si>
  <si>
    <t>Wind</t>
  </si>
  <si>
    <t>PV</t>
  </si>
  <si>
    <t>Hydro</t>
  </si>
  <si>
    <t>Steel demand is read from figure for Wind(land,sea). PV(roof,farm), Hydro</t>
  </si>
  <si>
    <t>Since Wind and PV are assumed to have by far the biggest impact long term they are weighted the most:</t>
  </si>
  <si>
    <t>Average:</t>
  </si>
  <si>
    <t>Population 1970</t>
  </si>
  <si>
    <t>Global steel production 1970 in t</t>
  </si>
  <si>
    <t>https://www.usgs.gov/media/files/iron-and-steel-historical-statistics-data-series-140&amp;ved=2ahUKEwiQr5O5oeqPAxVqhP0HHYBxI98QFnoECBoQAQ&amp;usg=AOvVaw0WPf8bEXvQW5xBnAUvCB2I</t>
  </si>
  <si>
    <t>Average in t/TW</t>
  </si>
  <si>
    <t>Steel use per person 1970 t/person</t>
  </si>
  <si>
    <t>Resource units per TW</t>
  </si>
  <si>
    <t>Source figure: https://www.researchgate.net/publication/322054349_Global_Trends_in_Metal_Consumption_and_Supply_The_Raw_Material-Energy_Nexus</t>
  </si>
  <si>
    <t>Since steel is used as a proxy, one resource unit in this case resembles the average steel use of a person in 1970</t>
  </si>
  <si>
    <t>alternative unit: t/resource unit</t>
  </si>
  <si>
    <t>Further information to be found in the respective sheet.</t>
  </si>
  <si>
    <t>100​</t>
  </si>
  <si>
    <t>Theoretically possible recyclable share (%)</t>
  </si>
  <si>
    <t>up to 98</t>
  </si>
  <si>
    <t>Aluminum</t>
  </si>
  <si>
    <t>Paper</t>
  </si>
  <si>
    <t>Glass</t>
  </si>
  <si>
    <t>Plastics</t>
  </si>
  <si>
    <t>Metals</t>
  </si>
  <si>
    <t>Building materials</t>
  </si>
  <si>
    <t>Global-aluminium-recycling.pdf</t>
  </si>
  <si>
    <t>LCOE Hydro</t>
  </si>
  <si>
    <t>LCOE Wind</t>
  </si>
  <si>
    <t>LCOE PV</t>
  </si>
  <si>
    <t>LCOE Weighted</t>
  </si>
  <si>
    <t>Given that the theoretical recyclability of most major material categories (e.g. metals, glass and paper) is almost 100%, whereas plastics remain substantially lower at around 75% due to technological and systemic limitations, we have adopted a pragmatic global average of around 90% to reflect the aggregate upper-bound potential for material recyclability. This value is not intended to be a precise calculation, but rather a representative estimate for use in our modelling framework.</t>
  </si>
  <si>
    <t xml:space="preserve"> </t>
  </si>
  <si>
    <t>https://ourworldindata.org/grapher/levelized-cost-of-energy</t>
  </si>
  <si>
    <t>Year</t>
  </si>
  <si>
    <t>Hydropower</t>
  </si>
  <si>
    <t>cumulated capacity in GW</t>
  </si>
  <si>
    <t>New Hydro capacity in GW</t>
  </si>
  <si>
    <t>New Wind capacity in GW</t>
  </si>
  <si>
    <t>New PV capacity in GW</t>
  </si>
  <si>
    <t>Share of hydro additions</t>
  </si>
  <si>
    <t>Share of wind additions</t>
  </si>
  <si>
    <t>Share of PV additions</t>
  </si>
  <si>
    <t>counter for interpolation</t>
  </si>
  <si>
    <t>Assuming: Relation of panel cost between 2010 und 1990 are used to determine the relation between LCOE between 1990 and 2010</t>
  </si>
  <si>
    <t>Recycling of Critical Minerals</t>
  </si>
  <si>
    <t xml:space="preserve">Source for LCOE: </t>
  </si>
  <si>
    <t>Source for panel prices</t>
  </si>
  <si>
    <t>the website is being updated yearly. When data was retrieved it was displayed in 2023 USD</t>
  </si>
  <si>
    <t>https://ourworldindata.org/grapher/solar-pv-prices</t>
  </si>
  <si>
    <t>panel price 1990 in USD/watt</t>
  </si>
  <si>
    <t>panel price 2010 in USD/watt</t>
  </si>
  <si>
    <t>Factor for panel price from 2010 to 1990</t>
  </si>
  <si>
    <t>Hydropower is assumed to have been constant before the known values</t>
  </si>
  <si>
    <t>Methology: For each year between 1990 and 2023 data about new installations and their LCOE is used to form an average LCOE for the respective year. Before 1990 only hydrower is assumed to have been installed. From the calculated data a curve fit is created to determine values for the table function. For further reductions a 10% learning rate is assumed.</t>
  </si>
  <si>
    <t>Cubic curve fit created from the values in column T:</t>
  </si>
  <si>
    <t>Source for installed capacities:</t>
  </si>
  <si>
    <t>https://www.volker-quaschning.de/datserv/ren-Leistung/index.php</t>
  </si>
  <si>
    <t>5.94 e+8</t>
  </si>
  <si>
    <t>1.4 e+9</t>
  </si>
  <si>
    <t>consumption 1970 in tonnes</t>
  </si>
  <si>
    <t>current consumption in tonnes</t>
  </si>
  <si>
    <t>ca 2</t>
  </si>
  <si>
    <t>-</t>
  </si>
  <si>
    <t>4 (und bei 9 4,6)</t>
  </si>
  <si>
    <t>Factor 1,5</t>
  </si>
  <si>
    <t>Factor 2</t>
  </si>
  <si>
    <t>Factor 2.5</t>
  </si>
  <si>
    <t>Factor 3</t>
  </si>
  <si>
    <t>Factor 4</t>
  </si>
  <si>
    <t>Factor 5</t>
  </si>
  <si>
    <t>Factor 6</t>
  </si>
  <si>
    <t>Sekundärstoffe aus dem Hochbau; https://www.energie-experten.ch/de/wohnen/detail/bauteile-wiederverwenden-spart-energie-und-co2.html</t>
  </si>
  <si>
    <t>https://ourworldindata.org/grapher/primary-energy-cons</t>
  </si>
  <si>
    <t>Brazil</t>
  </si>
  <si>
    <t>Canada</t>
  </si>
  <si>
    <t>China</t>
  </si>
  <si>
    <t>France</t>
  </si>
  <si>
    <t>Germany</t>
  </si>
  <si>
    <t>India</t>
  </si>
  <si>
    <t>Japan</t>
  </si>
  <si>
    <t>Portugal</t>
  </si>
  <si>
    <t>Saudi Arabia</t>
  </si>
  <si>
    <t>South Korea</t>
  </si>
  <si>
    <t>Spain</t>
  </si>
  <si>
    <t>Sweden</t>
  </si>
  <si>
    <t>Taiwan</t>
  </si>
  <si>
    <t>Thailand</t>
  </si>
  <si>
    <t>United Kingdom</t>
  </si>
  <si>
    <t>United States</t>
  </si>
  <si>
    <t>Mineral data</t>
  </si>
  <si>
    <t>Steel data (also included in mineral data but listed separately to be found more easily)</t>
  </si>
  <si>
    <t>Final energy consumption</t>
  </si>
  <si>
    <t>Primary energy consumption</t>
  </si>
  <si>
    <t>GDP</t>
  </si>
  <si>
    <t>Population</t>
  </si>
  <si>
    <t>Industry share of GDP</t>
  </si>
  <si>
    <t>https://www.iea.org/reports/key-world-energy-statistics-2021/final-consumption</t>
  </si>
  <si>
    <t xml:space="preserve"> https://www.usgs.gov/centers/national-minerals-information-center/historical-statistics-mineral-commodities-united</t>
  </si>
  <si>
    <t>https://data.worldbank.org/indicator/NY.GDP.MKTP.CD</t>
  </si>
  <si>
    <t>:https://data.worldbank.org/indicator/NV.IND.TOTL.ZS</t>
  </si>
  <si>
    <t>Own figure based on steel consumption data, population data, GDP, industry share of GDP and population data</t>
  </si>
  <si>
    <t>Own figures based on primary energy consumption data, population data, GDP, industry share of GDP and population data</t>
  </si>
  <si>
    <t>https://www.google.com/url?sa=t&amp;source=web&amp;rct=j&amp;opi=89978449&amp;url=https://www.umsicht.fraunhofer.de/content/dam/umsicht/de/dokumente/publikationen/2022/2022-04_Kunststoffbasierte-Mehrwegsysteme-in-der-Circular-Economy_Fraunhofer-UMSICHT.pdf&amp;ved=2ahUKEwj67PmpiO2PAxUxUaQEHbgOHccQFnoECBcQAQ&amp;usg=AOvVaw0AX9w3L3TTjTLx-OHTJdEE</t>
  </si>
  <si>
    <t>FEVE_infographic_Permanent material v4.1</t>
  </si>
  <si>
    <r>
      <t xml:space="preserve">In general, global consumption of various minerals as well as final and primary energy use follows a much flatter trajectory of rising consumption with increasing industrial output per capita than implied by the aggregated per capita resource use multiplier table in the original model. However, single-country data exhibit the characteristic S-shaped curves also described in </t>
    </r>
    <r>
      <rPr>
        <i/>
        <sz val="11"/>
        <color theme="1"/>
        <rFont val="Aptos Narrow"/>
        <scheme val="minor"/>
      </rPr>
      <t>Dynamics of Growth in a Finite World</t>
    </r>
    <r>
      <rPr>
        <sz val="11"/>
        <color theme="1"/>
        <rFont val="Aptos Narrow"/>
        <family val="2"/>
        <scheme val="minor"/>
      </rPr>
      <t xml:space="preserve"> by Meadows et al. It is assumed that global consumption is still at the beginning of this evolutionary process. Since some highly developed countries are already reducing their per capita consumption, the global curve appears dampened, while the ongoing rise in developing and emerging markets is currently masked. Furthermore, worldwide industrial output per capita is still below 2.5 times the 1970 level and thus remains far behind what many developed countries had already achieved decades ago, which provides additional evidence that the steep increase is yet to come. Therefore, as in the original publication, single-country data are used as a proxy from 1970 onwards. Nevertheless, even with this methodology, a lower increase in per capita consumption is observed for both mineral and energy resources than suggested by the original table. This may also reflect efficiency gains in developing countries and the fact that they are not following exactly the same trajectories as their predecessors. Energy demand rises more slowly but continues to increase at higher levels of industrial output, whereas material demand rises more rapidly but tends to level off and eventually decline at lower output levels.</t>
    </r>
  </si>
  <si>
    <t>Data:</t>
  </si>
  <si>
    <t xml:space="preserve">For both, energy and material resource use up to a relative p.c. industrial output of 1 (1970 world average value) the original curve is maintained, afterwards the US-steel consumption is used as proxy but without accounting for the drop in consumptio at 3 times 1970 average industrial output p.c.. </t>
  </si>
  <si>
    <r>
      <rPr>
        <b/>
        <sz val="11"/>
        <color theme="1"/>
        <rFont val="Aptos Narrow"/>
        <scheme val="minor"/>
      </rPr>
      <t>Material:</t>
    </r>
    <r>
      <rPr>
        <sz val="11"/>
        <color theme="1"/>
        <rFont val="Aptos Narrow"/>
        <family val="2"/>
        <scheme val="minor"/>
      </rPr>
      <t xml:space="preserve"> Steel used as a proxy for its dominance in material demand and use in the original publication. Worldwide consumption is compared for some of the most important minerals below where it can be observed, that steel use is by two magnitudes higher than most other minerals.</t>
    </r>
  </si>
  <si>
    <t>Mineral</t>
  </si>
  <si>
    <t>Read from figure</t>
  </si>
  <si>
    <t>For ist dominance in worldwide use, use in the LTG publication and data availability on national consumption (not just production) the USA are used to determine rising material demand p.c. by rising industrial output p.c.</t>
  </si>
  <si>
    <t>Instead of the falling demand a saturation is assumed for global demand</t>
  </si>
  <si>
    <r>
      <t xml:space="preserve">Energy: </t>
    </r>
    <r>
      <rPr>
        <sz val="11"/>
        <color theme="1"/>
        <rFont val="Aptos Narrow"/>
        <scheme val="minor"/>
      </rPr>
      <t>Since final energy consumption data is hard to be retrieved for single countries primary energy use development is used as a proxy. However, final energy demand development for the world has been taken into account for confirming the more dampened trajectory against the aggregated original table.</t>
    </r>
  </si>
  <si>
    <t>The following countries have been used as indicators:</t>
  </si>
  <si>
    <t>(Factor is for industrial output per capita when compared to 1970 world average)</t>
  </si>
  <si>
    <t>Values read from the figures. 1990 values seem in most years representative and are therefore used as a proxy. After factor 6 a saturation in consumption is assumed. Especially at higher factors a lower trajectory could be argued but those values are never reached in the simulations.</t>
  </si>
  <si>
    <t>New Table (with industrial output per capita being multiplicated by 220 1968 USD per person)</t>
  </si>
  <si>
    <t>Factors shown below are multiplied by 220 which, in the World model is assumed to be the industrial output per capita in 1970 in 1968USD</t>
  </si>
  <si>
    <t>approx. 75​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</si>
</sst>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8" formatCode="0.0000"/>
    <numFmt numFmtId="169" formatCode="0.000"/>
  </numFmts>
  <fonts count="21" x14ac:knownFonts="1">
    <font>
      <sz val="11"/>
      <color theme="1"/>
      <name val="Aptos Narrow"/>
      <family val="2"/>
      <scheme val="minor"/>
    </font>
    <font>
      <b/>
      <sz val="11"/>
      <color theme="1"/>
      <name val="Aptos Narrow"/>
      <family val="2"/>
      <scheme val="minor"/>
    </font>
    <font>
      <u/>
      <sz val="11"/>
      <color theme="10"/>
      <name val="Aptos Narrow"/>
      <family val="2"/>
      <scheme val="minor"/>
    </font>
    <font>
      <sz val="11"/>
      <name val="Aptos Narrow"/>
      <family val="2"/>
      <scheme val="minor"/>
    </font>
    <font>
      <b/>
      <sz val="11"/>
      <color rgb="FFFFFFFF"/>
      <name val="Arial"/>
      <family val="2"/>
    </font>
    <font>
      <sz val="11"/>
      <color rgb="FF000000"/>
      <name val="Arial"/>
      <family val="2"/>
    </font>
    <font>
      <sz val="11"/>
      <color rgb="FF000000"/>
      <name val="Wingdings"/>
      <charset val="2"/>
    </font>
    <font>
      <sz val="11"/>
      <name val="Wingdings"/>
      <charset val="2"/>
    </font>
    <font>
      <sz val="11"/>
      <color rgb="FF000000"/>
      <name val="Aptos Narrow"/>
      <family val="2"/>
      <scheme val="minor"/>
    </font>
    <font>
      <sz val="8"/>
      <name val="Aptos Narrow"/>
      <family val="2"/>
      <scheme val="minor"/>
    </font>
    <font>
      <sz val="11"/>
      <color theme="1"/>
      <name val="Aptos Narrow (Textkörper)"/>
    </font>
    <font>
      <b/>
      <sz val="18"/>
      <color theme="1"/>
      <name val="Aptos Narrow"/>
      <family val="2"/>
      <scheme val="minor"/>
    </font>
    <font>
      <sz val="14"/>
      <color theme="1"/>
      <name val="Aptos Narrow"/>
      <family val="2"/>
      <scheme val="minor"/>
    </font>
    <font>
      <sz val="16"/>
      <color theme="1"/>
      <name val="Aptos Narrow"/>
      <family val="2"/>
      <scheme val="minor"/>
    </font>
    <font>
      <b/>
      <sz val="8"/>
      <color rgb="FF212529"/>
      <name val="Arial"/>
      <family val="2"/>
    </font>
    <font>
      <sz val="6"/>
      <color rgb="FF212529"/>
      <name val="Segoe UI"/>
      <family val="2"/>
    </font>
    <font>
      <sz val="10"/>
      <color rgb="FF000000"/>
      <name val="Helvetica Neue"/>
      <family val="2"/>
    </font>
    <font>
      <b/>
      <sz val="10"/>
      <color rgb="FF000000"/>
      <name val="Helvetica Neue"/>
      <family val="2"/>
    </font>
    <font>
      <sz val="11"/>
      <color theme="1"/>
      <name val="Aptos Narrow"/>
      <scheme val="minor"/>
    </font>
    <font>
      <i/>
      <sz val="11"/>
      <color theme="1"/>
      <name val="Aptos Narrow"/>
      <scheme val="minor"/>
    </font>
    <font>
      <b/>
      <sz val="11"/>
      <color theme="1"/>
      <name val="Aptos Narrow"/>
      <scheme val="minor"/>
    </font>
  </fonts>
  <fills count="9">
    <fill>
      <patternFill patternType="none"/>
    </fill>
    <fill>
      <patternFill patternType="gray125"/>
    </fill>
    <fill>
      <patternFill patternType="solid">
        <fgColor rgb="FFC00009"/>
        <bgColor indexed="64"/>
      </patternFill>
    </fill>
    <fill>
      <patternFill patternType="solid">
        <fgColor theme="2" tint="-9.9978637043366805E-2"/>
        <bgColor indexed="64"/>
      </patternFill>
    </fill>
    <fill>
      <patternFill patternType="solid">
        <fgColor theme="2" tint="-9.9978637043366805E-2"/>
        <bgColor rgb="FF000000"/>
      </patternFill>
    </fill>
    <fill>
      <patternFill patternType="solid">
        <fgColor theme="2" tint="-0.249977111117893"/>
        <bgColor indexed="64"/>
      </patternFill>
    </fill>
    <fill>
      <patternFill patternType="solid">
        <fgColor theme="2" tint="-0.249977111117893"/>
        <bgColor rgb="FF000000"/>
      </patternFill>
    </fill>
    <fill>
      <patternFill patternType="solid">
        <fgColor theme="3" tint="0.89999084444715716"/>
        <bgColor indexed="64"/>
      </patternFill>
    </fill>
    <fill>
      <patternFill patternType="solid">
        <fgColor rgb="FFFFFFFF"/>
        <bgColor indexed="64"/>
      </patternFill>
    </fill>
  </fills>
  <borders count="18">
    <border>
      <left/>
      <right/>
      <top/>
      <bottom/>
      <diagonal/>
    </border>
    <border>
      <left style="medium">
        <color indexed="64"/>
      </left>
      <right/>
      <top/>
      <bottom/>
      <diagonal/>
    </border>
    <border>
      <left/>
      <right style="medium">
        <color indexed="64"/>
      </right>
      <top/>
      <bottom/>
      <diagonal/>
    </border>
    <border>
      <left/>
      <right/>
      <top/>
      <bottom style="medium">
        <color indexed="64"/>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rgb="FFFFFFFF"/>
      </left>
      <right style="medium">
        <color rgb="FFFFFFFF"/>
      </right>
      <top style="medium">
        <color rgb="FFFFFFFF"/>
      </top>
      <bottom style="thick">
        <color rgb="FFFFFFFF"/>
      </bottom>
      <diagonal/>
    </border>
    <border>
      <left style="medium">
        <color rgb="FFFFFFFF"/>
      </left>
      <right style="medium">
        <color rgb="FFFFFFFF"/>
      </right>
      <top style="thick">
        <color rgb="FFFFFFFF"/>
      </top>
      <bottom/>
      <diagonal/>
    </border>
    <border>
      <left style="medium">
        <color rgb="FFFFFFFF"/>
      </left>
      <right style="medium">
        <color rgb="FFFFFFFF"/>
      </right>
      <top/>
      <bottom style="medium">
        <color rgb="FFFFFFFF"/>
      </bottom>
      <diagonal/>
    </border>
    <border>
      <left style="medium">
        <color rgb="FFFFFFFF"/>
      </left>
      <right style="medium">
        <color rgb="FFFFFFFF"/>
      </right>
      <top style="medium">
        <color rgb="FFFFFFFF"/>
      </top>
      <bottom style="medium">
        <color rgb="FFFFFFFF"/>
      </bottom>
      <diagonal/>
    </border>
    <border>
      <left style="medium">
        <color rgb="FFFFFFFF"/>
      </left>
      <right style="medium">
        <color rgb="FFFFFFFF"/>
      </right>
      <top style="medium">
        <color rgb="FFFFFFFF"/>
      </top>
      <bottom/>
      <diagonal/>
    </border>
    <border>
      <left style="medium">
        <color rgb="FFFFFFFF"/>
      </left>
      <right style="medium">
        <color rgb="FFFFFFFF"/>
      </right>
      <top/>
      <bottom/>
      <diagonal/>
    </border>
    <border>
      <left style="medium">
        <color rgb="FFFFFFFF"/>
      </left>
      <right/>
      <top style="thick">
        <color rgb="FFFFFFFF"/>
      </top>
      <bottom/>
      <diagonal/>
    </border>
    <border>
      <left style="medium">
        <color rgb="FFFFFFFF"/>
      </left>
      <right/>
      <top/>
      <bottom/>
      <diagonal/>
    </border>
    <border>
      <left style="medium">
        <color rgb="FFFFFFFF"/>
      </left>
      <right/>
      <top/>
      <bottom style="medium">
        <color rgb="FFFFFFFF"/>
      </bottom>
      <diagonal/>
    </border>
    <border>
      <left style="medium">
        <color rgb="FFFFFFFF"/>
      </left>
      <right/>
      <top style="medium">
        <color rgb="FFFFFFFF"/>
      </top>
      <bottom/>
      <diagonal/>
    </border>
    <border>
      <left/>
      <right/>
      <top/>
      <bottom style="medium">
        <color rgb="FFFFFFFF"/>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2" fillId="0" borderId="0" applyNumberFormat="0" applyFill="0" applyBorder="0" applyAlignment="0" applyProtection="0"/>
    <xf numFmtId="0" fontId="2" fillId="0" borderId="0" applyNumberFormat="0" applyFill="0" applyBorder="0" applyAlignment="0" applyProtection="0"/>
  </cellStyleXfs>
  <cellXfs count="109">
    <xf numFmtId="0" fontId="0" fillId="0" borderId="0" xfId="0"/>
    <xf numFmtId="0" fontId="0" fillId="0" borderId="0" xfId="0" applyAlignment="1">
      <alignment vertical="center" wrapText="1"/>
    </xf>
    <xf numFmtId="0" fontId="0" fillId="0" borderId="1" xfId="0" applyBorder="1" applyAlignment="1">
      <alignment vertical="center" wrapText="1"/>
    </xf>
    <xf numFmtId="0" fontId="0" fillId="0" borderId="2" xfId="0" applyBorder="1" applyAlignment="1">
      <alignment vertical="center" wrapText="1"/>
    </xf>
    <xf numFmtId="0" fontId="0" fillId="0" borderId="1" xfId="0" applyBorder="1" applyAlignment="1">
      <alignment horizontal="left" vertical="center" wrapText="1"/>
    </xf>
    <xf numFmtId="0" fontId="0" fillId="0" borderId="0" xfId="0" applyAlignment="1">
      <alignment horizontal="left" vertical="center" wrapText="1"/>
    </xf>
    <xf numFmtId="0" fontId="0" fillId="0" borderId="2" xfId="0" applyBorder="1" applyAlignment="1">
      <alignment horizontal="left" vertical="center" wrapText="1"/>
    </xf>
    <xf numFmtId="0" fontId="0" fillId="0" borderId="0" xfId="0" quotePrefix="1" applyAlignment="1">
      <alignment horizontal="left" vertical="center" wrapText="1"/>
    </xf>
    <xf numFmtId="0" fontId="1" fillId="0" borderId="0" xfId="0" applyFont="1"/>
    <xf numFmtId="0" fontId="4" fillId="2" borderId="6" xfId="0" applyFont="1" applyFill="1" applyBorder="1" applyAlignment="1">
      <alignment horizontal="left" vertical="center" wrapText="1" readingOrder="1"/>
    </xf>
    <xf numFmtId="0" fontId="4" fillId="2" borderId="11" xfId="0" applyFont="1" applyFill="1" applyBorder="1" applyAlignment="1">
      <alignment horizontal="left" vertical="center" wrapText="1" readingOrder="1"/>
    </xf>
    <xf numFmtId="0" fontId="8" fillId="0" borderId="0" xfId="0" applyFont="1" applyAlignment="1">
      <alignment horizontal="left" vertical="center" readingOrder="1"/>
    </xf>
    <xf numFmtId="0" fontId="2" fillId="0" borderId="0" xfId="1"/>
    <xf numFmtId="0" fontId="0" fillId="0" borderId="0" xfId="0" applyAlignment="1">
      <alignment wrapText="1"/>
    </xf>
    <xf numFmtId="0" fontId="2" fillId="0" borderId="0" xfId="1" applyAlignment="1">
      <alignment wrapText="1"/>
    </xf>
    <xf numFmtId="0" fontId="0" fillId="3" borderId="0" xfId="0" applyFill="1" applyAlignment="1">
      <alignment horizontal="left" vertical="center" wrapText="1"/>
    </xf>
    <xf numFmtId="0" fontId="0" fillId="3" borderId="2" xfId="0" applyFill="1" applyBorder="1" applyAlignment="1">
      <alignment horizontal="center" vertical="center" wrapText="1"/>
    </xf>
    <xf numFmtId="0" fontId="0" fillId="3" borderId="1" xfId="0" applyFill="1" applyBorder="1" applyAlignment="1">
      <alignment horizontal="left" vertical="center" wrapText="1"/>
    </xf>
    <xf numFmtId="0" fontId="0" fillId="3" borderId="3" xfId="0" applyFill="1" applyBorder="1" applyAlignment="1">
      <alignment horizontal="left" vertical="center" wrapText="1"/>
    </xf>
    <xf numFmtId="0" fontId="0" fillId="3" borderId="2" xfId="0" applyFill="1" applyBorder="1" applyAlignment="1">
      <alignment horizontal="left" vertical="center" wrapText="1"/>
    </xf>
    <xf numFmtId="0" fontId="0" fillId="3" borderId="1" xfId="0" applyFill="1" applyBorder="1" applyAlignment="1">
      <alignment horizontal="left" vertical="center" wrapText="1"/>
    </xf>
    <xf numFmtId="0" fontId="0" fillId="3" borderId="0" xfId="0" applyFill="1" applyAlignment="1">
      <alignment horizontal="left" vertical="center" wrapText="1"/>
    </xf>
    <xf numFmtId="0" fontId="0" fillId="3" borderId="1" xfId="0" applyFill="1" applyBorder="1" applyAlignment="1">
      <alignment horizontal="center" vertical="center" wrapText="1"/>
    </xf>
    <xf numFmtId="0" fontId="0" fillId="3" borderId="0" xfId="0" applyFill="1" applyAlignment="1">
      <alignment horizontal="center" vertical="center" wrapText="1"/>
    </xf>
    <xf numFmtId="0" fontId="0" fillId="3" borderId="5" xfId="0" applyFill="1" applyBorder="1" applyAlignment="1">
      <alignment horizontal="left" vertical="center" wrapText="1"/>
    </xf>
    <xf numFmtId="0" fontId="0" fillId="3" borderId="4" xfId="0" applyFill="1" applyBorder="1" applyAlignment="1">
      <alignment horizontal="center" vertical="center" wrapText="1"/>
    </xf>
    <xf numFmtId="0" fontId="0" fillId="3" borderId="3" xfId="0" applyFill="1" applyBorder="1" applyAlignment="1">
      <alignment horizontal="center" vertical="center" wrapText="1"/>
    </xf>
    <xf numFmtId="0" fontId="0" fillId="3" borderId="5" xfId="0" applyFill="1" applyBorder="1" applyAlignment="1">
      <alignment horizontal="center" vertical="center" wrapText="1"/>
    </xf>
    <xf numFmtId="0" fontId="0" fillId="3" borderId="0" xfId="0" applyFill="1" applyAlignment="1">
      <alignment horizontal="center" vertical="center" wrapText="1"/>
    </xf>
    <xf numFmtId="0" fontId="8" fillId="4" borderId="0" xfId="0" applyFont="1" applyFill="1" applyAlignment="1">
      <alignment horizontal="left" vertical="center" wrapText="1"/>
    </xf>
    <xf numFmtId="11" fontId="0" fillId="3" borderId="0" xfId="0" applyNumberFormat="1" applyFill="1" applyAlignment="1">
      <alignment horizontal="left" vertical="center" wrapText="1"/>
    </xf>
    <xf numFmtId="0" fontId="0" fillId="3" borderId="0" xfId="0" applyFill="1" applyAlignment="1">
      <alignment vertical="center" wrapText="1"/>
    </xf>
    <xf numFmtId="0" fontId="0" fillId="3" borderId="0" xfId="0" quotePrefix="1" applyFill="1" applyAlignment="1">
      <alignment horizontal="left" vertical="center" wrapText="1"/>
    </xf>
    <xf numFmtId="0" fontId="3" fillId="3" borderId="0" xfId="1" applyFont="1" applyFill="1" applyAlignment="1">
      <alignment horizontal="left" vertical="center" wrapText="1"/>
    </xf>
    <xf numFmtId="0" fontId="10" fillId="3" borderId="0" xfId="1" applyFont="1" applyFill="1" applyBorder="1" applyAlignment="1">
      <alignment horizontal="left" vertical="center" wrapText="1"/>
    </xf>
    <xf numFmtId="17" fontId="0" fillId="3" borderId="0" xfId="0" quotePrefix="1" applyNumberFormat="1" applyFill="1" applyAlignment="1">
      <alignment horizontal="left" vertical="center" wrapText="1"/>
    </xf>
    <xf numFmtId="0" fontId="0" fillId="5" borderId="0" xfId="0" applyFill="1" applyAlignment="1">
      <alignment horizontal="left" vertical="center" wrapText="1"/>
    </xf>
    <xf numFmtId="0" fontId="0" fillId="5" borderId="2" xfId="0" applyFill="1" applyBorder="1" applyAlignment="1">
      <alignment vertical="center" wrapText="1"/>
    </xf>
    <xf numFmtId="0" fontId="0" fillId="5" borderId="1" xfId="0" applyFill="1" applyBorder="1" applyAlignment="1">
      <alignment horizontal="left" vertical="center" wrapText="1"/>
    </xf>
    <xf numFmtId="0" fontId="0" fillId="5" borderId="2" xfId="0" applyFill="1" applyBorder="1" applyAlignment="1">
      <alignment horizontal="left" vertical="center" wrapText="1"/>
    </xf>
    <xf numFmtId="0" fontId="2" fillId="5" borderId="0" xfId="1" applyFill="1" applyAlignment="1">
      <alignment horizontal="left" vertical="center" wrapText="1"/>
    </xf>
    <xf numFmtId="0" fontId="0" fillId="5" borderId="0" xfId="0" applyFill="1" applyAlignment="1">
      <alignment horizontal="left" vertical="center" wrapText="1"/>
    </xf>
    <xf numFmtId="0" fontId="0" fillId="5" borderId="1" xfId="0" applyFill="1" applyBorder="1" applyAlignment="1">
      <alignment horizontal="center" vertical="center" wrapText="1"/>
    </xf>
    <xf numFmtId="0" fontId="0" fillId="5" borderId="0" xfId="0" applyFill="1" applyAlignment="1">
      <alignment horizontal="center" vertical="center" wrapText="1"/>
    </xf>
    <xf numFmtId="0" fontId="0" fillId="5" borderId="2" xfId="0" applyFill="1" applyBorder="1" applyAlignment="1">
      <alignment horizontal="center" vertical="center" wrapText="1"/>
    </xf>
    <xf numFmtId="0" fontId="0" fillId="5" borderId="2" xfId="0" applyFill="1" applyBorder="1" applyAlignment="1">
      <alignment horizontal="left" vertical="center" wrapText="1"/>
    </xf>
    <xf numFmtId="0" fontId="8" fillId="6" borderId="0" xfId="0" applyFont="1" applyFill="1" applyAlignment="1">
      <alignment horizontal="left" vertical="center" wrapText="1"/>
    </xf>
    <xf numFmtId="0" fontId="0" fillId="5" borderId="3" xfId="0" applyFill="1" applyBorder="1" applyAlignment="1">
      <alignment horizontal="left" vertical="center" wrapText="1"/>
    </xf>
    <xf numFmtId="0" fontId="0" fillId="5" borderId="4" xfId="0" applyFill="1" applyBorder="1" applyAlignment="1">
      <alignment horizontal="left" vertical="center" wrapText="1"/>
    </xf>
    <xf numFmtId="0" fontId="0" fillId="5" borderId="5" xfId="0" applyFill="1" applyBorder="1" applyAlignment="1">
      <alignment horizontal="left" vertical="center" wrapText="1"/>
    </xf>
    <xf numFmtId="0" fontId="0" fillId="5" borderId="0" xfId="0" applyFill="1" applyAlignment="1">
      <alignment vertical="center" wrapText="1"/>
    </xf>
    <xf numFmtId="0" fontId="0" fillId="5" borderId="0" xfId="0" quotePrefix="1" applyFill="1" applyAlignment="1">
      <alignment horizontal="left" vertical="center" wrapText="1"/>
    </xf>
    <xf numFmtId="16" fontId="0" fillId="5" borderId="0" xfId="0" quotePrefix="1" applyNumberFormat="1" applyFill="1" applyAlignment="1">
      <alignment horizontal="left" vertical="center" wrapText="1"/>
    </xf>
    <xf numFmtId="0" fontId="5" fillId="3" borderId="7" xfId="0" applyFont="1" applyFill="1" applyBorder="1" applyAlignment="1">
      <alignment horizontal="left" vertical="center" wrapText="1" readingOrder="1"/>
    </xf>
    <xf numFmtId="0" fontId="5" fillId="3" borderId="7" xfId="0" applyFont="1" applyFill="1" applyBorder="1" applyAlignment="1">
      <alignment horizontal="left" vertical="center" wrapText="1" readingOrder="1"/>
    </xf>
    <xf numFmtId="0" fontId="5" fillId="3" borderId="12" xfId="0" applyFont="1" applyFill="1" applyBorder="1" applyAlignment="1">
      <alignment horizontal="center" vertical="center" wrapText="1" readingOrder="1"/>
    </xf>
    <xf numFmtId="0" fontId="2" fillId="3" borderId="0" xfId="1" applyFill="1" applyAlignment="1">
      <alignment wrapText="1"/>
    </xf>
    <xf numFmtId="0" fontId="5" fillId="3" borderId="8" xfId="0" applyFont="1" applyFill="1" applyBorder="1" applyAlignment="1">
      <alignment horizontal="left" vertical="center" wrapText="1" readingOrder="1"/>
    </xf>
    <xf numFmtId="0" fontId="6" fillId="3" borderId="8" xfId="0" applyFont="1" applyFill="1" applyBorder="1" applyAlignment="1">
      <alignment horizontal="left" vertical="center" wrapText="1" readingOrder="1"/>
    </xf>
    <xf numFmtId="0" fontId="5" fillId="3" borderId="13" xfId="0" applyFont="1" applyFill="1" applyBorder="1" applyAlignment="1">
      <alignment horizontal="center" vertical="center" wrapText="1" readingOrder="1"/>
    </xf>
    <xf numFmtId="0" fontId="5" fillId="3" borderId="10" xfId="0" applyFont="1" applyFill="1" applyBorder="1" applyAlignment="1">
      <alignment horizontal="left" vertical="center" wrapText="1" readingOrder="1"/>
    </xf>
    <xf numFmtId="0" fontId="5" fillId="3" borderId="10" xfId="0" applyFont="1" applyFill="1" applyBorder="1" applyAlignment="1">
      <alignment horizontal="left" vertical="center" wrapText="1" readingOrder="1"/>
    </xf>
    <xf numFmtId="0" fontId="5" fillId="3" borderId="15" xfId="0" applyFont="1" applyFill="1" applyBorder="1" applyAlignment="1">
      <alignment horizontal="center" vertical="center" wrapText="1" readingOrder="1"/>
    </xf>
    <xf numFmtId="0" fontId="7" fillId="3" borderId="8" xfId="0" applyFont="1" applyFill="1" applyBorder="1" applyAlignment="1">
      <alignment vertical="center" wrapText="1" readingOrder="1"/>
    </xf>
    <xf numFmtId="0" fontId="5" fillId="3" borderId="14" xfId="0" applyFont="1" applyFill="1" applyBorder="1" applyAlignment="1">
      <alignment horizontal="center" vertical="center" wrapText="1" readingOrder="1"/>
    </xf>
    <xf numFmtId="0" fontId="5" fillId="3" borderId="9" xfId="0" applyFont="1" applyFill="1" applyBorder="1" applyAlignment="1">
      <alignment horizontal="left" vertical="center" wrapText="1" readingOrder="1"/>
    </xf>
    <xf numFmtId="0" fontId="5" fillId="5" borderId="9" xfId="0" applyFont="1" applyFill="1" applyBorder="1" applyAlignment="1">
      <alignment horizontal="left" vertical="center" wrapText="1" readingOrder="1"/>
    </xf>
    <xf numFmtId="0" fontId="2" fillId="5" borderId="0" xfId="1" applyFill="1" applyAlignment="1">
      <alignment wrapText="1"/>
    </xf>
    <xf numFmtId="0" fontId="0" fillId="5" borderId="0" xfId="0" applyFill="1" applyAlignment="1">
      <alignment wrapText="1"/>
    </xf>
    <xf numFmtId="0" fontId="0" fillId="0" borderId="0" xfId="0" applyAlignment="1">
      <alignment horizontal="left"/>
    </xf>
    <xf numFmtId="0" fontId="8" fillId="0" borderId="0" xfId="0" applyFont="1" applyAlignment="1">
      <alignment horizontal="right" vertical="center" readingOrder="1"/>
    </xf>
    <xf numFmtId="0" fontId="0" fillId="0" borderId="0" xfId="0" applyAlignment="1">
      <alignment horizontal="right"/>
    </xf>
    <xf numFmtId="169" fontId="0" fillId="0" borderId="0" xfId="0" applyNumberFormat="1"/>
    <xf numFmtId="168" fontId="0" fillId="0" borderId="0" xfId="0" applyNumberFormat="1"/>
    <xf numFmtId="2" fontId="0" fillId="0" borderId="0" xfId="0" applyNumberFormat="1"/>
    <xf numFmtId="169" fontId="8" fillId="0" borderId="0" xfId="0" applyNumberFormat="1" applyFont="1" applyAlignment="1">
      <alignment horizontal="right" vertical="center" readingOrder="1"/>
    </xf>
    <xf numFmtId="0" fontId="0" fillId="7" borderId="0" xfId="0" applyFill="1" applyAlignment="1">
      <alignment vertical="center" wrapText="1"/>
    </xf>
    <xf numFmtId="0" fontId="0" fillId="7" borderId="1" xfId="0" applyFill="1" applyBorder="1" applyAlignment="1">
      <alignment vertical="center" wrapText="1"/>
    </xf>
    <xf numFmtId="0" fontId="0" fillId="7" borderId="2" xfId="0" applyFill="1" applyBorder="1" applyAlignment="1">
      <alignment vertical="center" wrapText="1"/>
    </xf>
    <xf numFmtId="0" fontId="11" fillId="7" borderId="0" xfId="0" applyFont="1" applyFill="1" applyAlignment="1">
      <alignment horizontal="center" vertical="center" wrapText="1"/>
    </xf>
    <xf numFmtId="0" fontId="11" fillId="7" borderId="1" xfId="0" applyFont="1" applyFill="1" applyBorder="1" applyAlignment="1">
      <alignment horizontal="center" vertical="center" wrapText="1"/>
    </xf>
    <xf numFmtId="0" fontId="11" fillId="7" borderId="2" xfId="0" applyFont="1" applyFill="1" applyBorder="1" applyAlignment="1">
      <alignment horizontal="center" vertical="center" wrapText="1"/>
    </xf>
    <xf numFmtId="0" fontId="11" fillId="7" borderId="0" xfId="0" applyFont="1" applyFill="1" applyAlignment="1">
      <alignment horizontal="center" vertical="center" wrapText="1"/>
    </xf>
    <xf numFmtId="0" fontId="11" fillId="7" borderId="0" xfId="0" applyFont="1" applyFill="1" applyAlignment="1">
      <alignment vertical="center" wrapText="1"/>
    </xf>
    <xf numFmtId="0" fontId="12" fillId="7" borderId="0" xfId="0" applyFont="1" applyFill="1" applyAlignment="1">
      <alignment vertical="center" wrapText="1"/>
    </xf>
    <xf numFmtId="0" fontId="12" fillId="7" borderId="1" xfId="0" applyFont="1" applyFill="1" applyBorder="1" applyAlignment="1">
      <alignment vertical="center" wrapText="1"/>
    </xf>
    <xf numFmtId="0" fontId="12" fillId="7" borderId="2" xfId="0" applyFont="1" applyFill="1" applyBorder="1" applyAlignment="1">
      <alignment vertical="center" wrapText="1"/>
    </xf>
    <xf numFmtId="3" fontId="0" fillId="0" borderId="0" xfId="0" applyNumberFormat="1"/>
    <xf numFmtId="0" fontId="2" fillId="3" borderId="0" xfId="1" applyFill="1" applyAlignment="1">
      <alignment horizontal="left" vertical="center" wrapText="1"/>
    </xf>
    <xf numFmtId="0" fontId="13" fillId="0" borderId="0" xfId="0" applyFont="1" applyAlignment="1">
      <alignment wrapText="1"/>
    </xf>
    <xf numFmtId="0" fontId="4" fillId="2" borderId="13" xfId="0" applyFont="1" applyFill="1" applyBorder="1" applyAlignment="1">
      <alignment horizontal="center" vertical="center" wrapText="1" readingOrder="1"/>
    </xf>
    <xf numFmtId="0" fontId="2" fillId="3" borderId="0" xfId="1" applyFill="1" applyAlignment="1">
      <alignment vertical="center" wrapText="1"/>
    </xf>
    <xf numFmtId="0" fontId="2" fillId="3" borderId="16" xfId="1" applyFill="1" applyBorder="1" applyAlignment="1">
      <alignment vertical="center" wrapText="1"/>
    </xf>
    <xf numFmtId="11" fontId="0" fillId="0" borderId="0" xfId="0" applyNumberFormat="1"/>
    <xf numFmtId="0" fontId="0" fillId="0" borderId="0" xfId="0" applyFont="1" applyBorder="1"/>
    <xf numFmtId="0" fontId="8" fillId="0" borderId="17" xfId="0" applyFont="1" applyBorder="1" applyAlignment="1">
      <alignment horizontal="left" vertical="center" wrapText="1"/>
    </xf>
    <xf numFmtId="0" fontId="0" fillId="0" borderId="17" xfId="0" applyBorder="1"/>
    <xf numFmtId="0" fontId="2" fillId="0" borderId="17" xfId="1" applyBorder="1"/>
    <xf numFmtId="0" fontId="0" fillId="0" borderId="0" xfId="0" applyAlignment="1">
      <alignment horizontal="left" vertical="center" wrapText="1"/>
    </xf>
    <xf numFmtId="0" fontId="14" fillId="8" borderId="0" xfId="0" applyFont="1" applyFill="1" applyAlignment="1">
      <alignment horizontal="center" vertical="top" wrapText="1"/>
    </xf>
    <xf numFmtId="0" fontId="15" fillId="8" borderId="0" xfId="0" applyFont="1" applyFill="1" applyAlignment="1">
      <alignment horizontal="center" vertical="top" wrapText="1"/>
    </xf>
    <xf numFmtId="169" fontId="16" fillId="0" borderId="0" xfId="0" applyNumberFormat="1" applyFont="1"/>
    <xf numFmtId="169" fontId="17" fillId="0" borderId="0" xfId="0" applyNumberFormat="1" applyFont="1"/>
    <xf numFmtId="1" fontId="0" fillId="0" borderId="0" xfId="0" applyNumberFormat="1"/>
    <xf numFmtId="0" fontId="2" fillId="0" borderId="0" xfId="2"/>
    <xf numFmtId="0" fontId="18" fillId="0" borderId="0" xfId="0" applyFont="1"/>
    <xf numFmtId="0" fontId="0" fillId="0" borderId="0" xfId="0" applyAlignment="1">
      <alignment horizontal="center" wrapText="1"/>
    </xf>
    <xf numFmtId="0" fontId="2" fillId="0" borderId="0" xfId="2" applyAlignment="1">
      <alignment wrapText="1"/>
    </xf>
    <xf numFmtId="0" fontId="20" fillId="0" borderId="0" xfId="0" applyFont="1"/>
  </cellXfs>
  <cellStyles count="3">
    <cellStyle name="Hyperlink" xfId="2" xr:uid="{47287348-5E37-A140-995B-227A6F259EF1}"/>
    <cellStyle name="Link" xfId="1" builtinId="8"/>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customXml" Target="../customXml/item2.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18</xdr:row>
      <xdr:rowOff>25401</xdr:rowOff>
    </xdr:from>
    <xdr:to>
      <xdr:col>0</xdr:col>
      <xdr:colOff>6121400</xdr:colOff>
      <xdr:row>40</xdr:row>
      <xdr:rowOff>11581</xdr:rowOff>
    </xdr:to>
    <xdr:pic>
      <xdr:nvPicPr>
        <xdr:cNvPr id="2" name="Grafik 1">
          <a:extLst>
            <a:ext uri="{FF2B5EF4-FFF2-40B4-BE49-F238E27FC236}">
              <a16:creationId xmlns:a16="http://schemas.microsoft.com/office/drawing/2014/main" id="{04843C18-0035-B3DC-4BD1-880C0711BBF6}"/>
            </a:ext>
          </a:extLst>
        </xdr:cNvPr>
        <xdr:cNvPicPr>
          <a:picLocks noChangeAspect="1"/>
        </xdr:cNvPicPr>
      </xdr:nvPicPr>
      <xdr:blipFill rotWithShape="1">
        <a:blip xmlns:r="http://schemas.openxmlformats.org/officeDocument/2006/relationships" r:embed="rId1"/>
        <a:srcRect l="48039" t="1" b="45411"/>
        <a:stretch>
          <a:fillRect/>
        </a:stretch>
      </xdr:blipFill>
      <xdr:spPr>
        <a:xfrm>
          <a:off x="0" y="3454401"/>
          <a:ext cx="6121400" cy="41771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25</xdr:col>
      <xdr:colOff>12700</xdr:colOff>
      <xdr:row>3</xdr:row>
      <xdr:rowOff>25400</xdr:rowOff>
    </xdr:from>
    <xdr:to>
      <xdr:col>37</xdr:col>
      <xdr:colOff>368300</xdr:colOff>
      <xdr:row>32</xdr:row>
      <xdr:rowOff>75278</xdr:rowOff>
    </xdr:to>
    <xdr:pic>
      <xdr:nvPicPr>
        <xdr:cNvPr id="8" name="Grafik 7">
          <a:extLst>
            <a:ext uri="{FF2B5EF4-FFF2-40B4-BE49-F238E27FC236}">
              <a16:creationId xmlns:a16="http://schemas.microsoft.com/office/drawing/2014/main" id="{459ED2DF-9525-F949-7832-4ABB74DEF3BE}"/>
            </a:ext>
          </a:extLst>
        </xdr:cNvPr>
        <xdr:cNvPicPr>
          <a:picLocks noChangeAspect="1"/>
        </xdr:cNvPicPr>
      </xdr:nvPicPr>
      <xdr:blipFill>
        <a:blip xmlns:r="http://schemas.openxmlformats.org/officeDocument/2006/relationships" r:embed="rId1"/>
        <a:stretch>
          <a:fillRect/>
        </a:stretch>
      </xdr:blipFill>
      <xdr:spPr>
        <a:xfrm>
          <a:off x="20650200" y="711200"/>
          <a:ext cx="10261600" cy="557437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29778</xdr:colOff>
      <xdr:row>22</xdr:row>
      <xdr:rowOff>34017</xdr:rowOff>
    </xdr:from>
    <xdr:to>
      <xdr:col>2</xdr:col>
      <xdr:colOff>1823529</xdr:colOff>
      <xdr:row>38</xdr:row>
      <xdr:rowOff>52675</xdr:rowOff>
    </xdr:to>
    <xdr:pic>
      <xdr:nvPicPr>
        <xdr:cNvPr id="6" name="Grafik 1">
          <a:extLst>
            <a:ext uri="{FF2B5EF4-FFF2-40B4-BE49-F238E27FC236}">
              <a16:creationId xmlns:a16="http://schemas.microsoft.com/office/drawing/2014/main" id="{E6BF8337-0215-7412-408F-53234EC3E685}"/>
            </a:ext>
          </a:extLst>
        </xdr:cNvPr>
        <xdr:cNvPicPr>
          <a:picLocks noChangeAspect="1"/>
        </xdr:cNvPicPr>
      </xdr:nvPicPr>
      <xdr:blipFill rotWithShape="1">
        <a:blip xmlns:r="http://schemas.openxmlformats.org/officeDocument/2006/relationships" r:embed="rId1"/>
        <a:srcRect t="2089" r="65933" b="65170"/>
        <a:stretch>
          <a:fillRect/>
        </a:stretch>
      </xdr:blipFill>
      <xdr:spPr>
        <a:xfrm>
          <a:off x="29778" y="6698244"/>
          <a:ext cx="4386122" cy="3160926"/>
        </a:xfrm>
        <a:prstGeom prst="rect">
          <a:avLst/>
        </a:prstGeom>
      </xdr:spPr>
    </xdr:pic>
    <xdr:clientData/>
  </xdr:twoCellAnchor>
  <xdr:twoCellAnchor editAs="oneCell">
    <xdr:from>
      <xdr:col>0</xdr:col>
      <xdr:colOff>0</xdr:colOff>
      <xdr:row>67</xdr:row>
      <xdr:rowOff>29654</xdr:rowOff>
    </xdr:from>
    <xdr:to>
      <xdr:col>6</xdr:col>
      <xdr:colOff>592815</xdr:colOff>
      <xdr:row>91</xdr:row>
      <xdr:rowOff>142916</xdr:rowOff>
    </xdr:to>
    <xdr:pic>
      <xdr:nvPicPr>
        <xdr:cNvPr id="7" name="Grafik 2">
          <a:extLst>
            <a:ext uri="{FF2B5EF4-FFF2-40B4-BE49-F238E27FC236}">
              <a16:creationId xmlns:a16="http://schemas.microsoft.com/office/drawing/2014/main" id="{BF66D59B-F90C-B2D2-7137-21AF0499F94E}"/>
            </a:ext>
          </a:extLst>
        </xdr:cNvPr>
        <xdr:cNvPicPr>
          <a:picLocks noChangeAspect="1"/>
        </xdr:cNvPicPr>
      </xdr:nvPicPr>
      <xdr:blipFill rotWithShape="1">
        <a:blip xmlns:r="http://schemas.openxmlformats.org/officeDocument/2006/relationships" r:embed="rId2"/>
        <a:srcRect l="8712" t="3920" r="6827" b="2501"/>
        <a:stretch>
          <a:fillRect/>
        </a:stretch>
      </xdr:blipFill>
      <xdr:spPr>
        <a:xfrm>
          <a:off x="0" y="14897121"/>
          <a:ext cx="8585348" cy="458366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0</xdr:colOff>
      <xdr:row>3</xdr:row>
      <xdr:rowOff>0</xdr:rowOff>
    </xdr:from>
    <xdr:to>
      <xdr:col>5</xdr:col>
      <xdr:colOff>1684118</xdr:colOff>
      <xdr:row>8</xdr:row>
      <xdr:rowOff>182512</xdr:rowOff>
    </xdr:to>
    <xdr:sp macro="" textlink="">
      <xdr:nvSpPr>
        <xdr:cNvPr id="2" name="Rechteck 1">
          <a:extLst>
            <a:ext uri="{FF2B5EF4-FFF2-40B4-BE49-F238E27FC236}">
              <a16:creationId xmlns:a16="http://schemas.microsoft.com/office/drawing/2014/main" id="{C0E7C18F-5E05-430A-8900-94986BFC860C}"/>
            </a:ext>
          </a:extLst>
        </xdr:cNvPr>
        <xdr:cNvSpPr/>
      </xdr:nvSpPr>
      <xdr:spPr>
        <a:xfrm>
          <a:off x="17060956" y="553291"/>
          <a:ext cx="1684118" cy="1828375"/>
        </a:xfrm>
        <a:prstGeom prst="rect">
          <a:avLst/>
        </a:prstGeom>
        <a:solidFill>
          <a:schemeClr val="accent2">
            <a:lumMod val="20000"/>
            <a:lumOff val="80000"/>
          </a:schemeClr>
        </a:solidFill>
      </xdr:spPr>
      <xdr:style>
        <a:lnRef idx="1">
          <a:schemeClr val="accent1"/>
        </a:lnRef>
        <a:fillRef idx="2">
          <a:schemeClr val="accent1"/>
        </a:fillRef>
        <a:effectRef idx="1">
          <a:schemeClr val="accent1"/>
        </a:effectRef>
        <a:fontRef idx="minor">
          <a:schemeClr val="dk1"/>
        </a:fontRef>
      </xdr:style>
      <xdr:txBody>
        <a:bodyPr wrap="square" rtlCol="0" anchor="ctr"/>
        <a:lstStyle>
          <a:defPPr>
            <a:defRPr lang="de-DE"/>
          </a:defPPr>
          <a:lvl1pPr algn="l" defTabSz="457200" rtl="0" fontAlgn="base">
            <a:spcBef>
              <a:spcPct val="0"/>
            </a:spcBef>
            <a:spcAft>
              <a:spcPct val="0"/>
            </a:spcAft>
            <a:defRPr kern="1200">
              <a:solidFill>
                <a:schemeClr val="dk1"/>
              </a:solidFill>
              <a:latin typeface="+mn-lt"/>
              <a:ea typeface="+mn-ea"/>
              <a:cs typeface="+mn-cs"/>
            </a:defRPr>
          </a:lvl1pPr>
          <a:lvl2pPr marL="457200" algn="l" defTabSz="457200" rtl="0" fontAlgn="base">
            <a:spcBef>
              <a:spcPct val="0"/>
            </a:spcBef>
            <a:spcAft>
              <a:spcPct val="0"/>
            </a:spcAft>
            <a:defRPr kern="1200">
              <a:solidFill>
                <a:schemeClr val="dk1"/>
              </a:solidFill>
              <a:latin typeface="+mn-lt"/>
              <a:ea typeface="+mn-ea"/>
              <a:cs typeface="+mn-cs"/>
            </a:defRPr>
          </a:lvl2pPr>
          <a:lvl3pPr marL="914400" algn="l" defTabSz="457200" rtl="0" fontAlgn="base">
            <a:spcBef>
              <a:spcPct val="0"/>
            </a:spcBef>
            <a:spcAft>
              <a:spcPct val="0"/>
            </a:spcAft>
            <a:defRPr kern="1200">
              <a:solidFill>
                <a:schemeClr val="dk1"/>
              </a:solidFill>
              <a:latin typeface="+mn-lt"/>
              <a:ea typeface="+mn-ea"/>
              <a:cs typeface="+mn-cs"/>
            </a:defRPr>
          </a:lvl3pPr>
          <a:lvl4pPr marL="1371600" algn="l" defTabSz="457200" rtl="0" fontAlgn="base">
            <a:spcBef>
              <a:spcPct val="0"/>
            </a:spcBef>
            <a:spcAft>
              <a:spcPct val="0"/>
            </a:spcAft>
            <a:defRPr kern="1200">
              <a:solidFill>
                <a:schemeClr val="dk1"/>
              </a:solidFill>
              <a:latin typeface="+mn-lt"/>
              <a:ea typeface="+mn-ea"/>
              <a:cs typeface="+mn-cs"/>
            </a:defRPr>
          </a:lvl4pPr>
          <a:lvl5pPr marL="1828800" algn="l" defTabSz="457200" rtl="0" fontAlgn="base">
            <a:spcBef>
              <a:spcPct val="0"/>
            </a:spcBef>
            <a:spcAft>
              <a:spcPct val="0"/>
            </a:spcAft>
            <a:defRPr kern="1200">
              <a:solidFill>
                <a:schemeClr val="dk1"/>
              </a:solidFill>
              <a:latin typeface="+mn-lt"/>
              <a:ea typeface="+mn-ea"/>
              <a:cs typeface="+mn-cs"/>
            </a:defRPr>
          </a:lvl5pPr>
          <a:lvl6pPr marL="2286000" algn="l" defTabSz="914400" rtl="0" eaLnBrk="1" latinLnBrk="0" hangingPunct="1">
            <a:defRPr kern="1200">
              <a:solidFill>
                <a:schemeClr val="dk1"/>
              </a:solidFill>
              <a:latin typeface="+mn-lt"/>
              <a:ea typeface="+mn-ea"/>
              <a:cs typeface="+mn-cs"/>
            </a:defRPr>
          </a:lvl6pPr>
          <a:lvl7pPr marL="2743200" algn="l" defTabSz="914400" rtl="0" eaLnBrk="1" latinLnBrk="0" hangingPunct="1">
            <a:defRPr kern="1200">
              <a:solidFill>
                <a:schemeClr val="dk1"/>
              </a:solidFill>
              <a:latin typeface="+mn-lt"/>
              <a:ea typeface="+mn-ea"/>
              <a:cs typeface="+mn-cs"/>
            </a:defRPr>
          </a:lvl7pPr>
          <a:lvl8pPr marL="3200400" algn="l" defTabSz="914400" rtl="0" eaLnBrk="1" latinLnBrk="0" hangingPunct="1">
            <a:defRPr kern="1200">
              <a:solidFill>
                <a:schemeClr val="dk1"/>
              </a:solidFill>
              <a:latin typeface="+mn-lt"/>
              <a:ea typeface="+mn-ea"/>
              <a:cs typeface="+mn-cs"/>
            </a:defRPr>
          </a:lvl8pPr>
          <a:lvl9pPr marL="3657600" algn="l" defTabSz="914400" rtl="0" eaLnBrk="1" latinLnBrk="0" hangingPunct="1">
            <a:defRPr kern="1200">
              <a:solidFill>
                <a:schemeClr val="dk1"/>
              </a:solidFill>
              <a:latin typeface="+mn-lt"/>
              <a:ea typeface="+mn-ea"/>
              <a:cs typeface="+mn-cs"/>
            </a:defRPr>
          </a:lvl9pPr>
        </a:lstStyle>
        <a:p>
          <a:pPr marL="0" algn="ctr" rtl="0" eaLnBrk="1" fontAlgn="ctr" latinLnBrk="0" hangingPunct="1">
            <a:lnSpc>
              <a:spcPct val="100000"/>
            </a:lnSpc>
          </a:pPr>
          <a:r>
            <a:rPr lang="de-DE" sz="1200" b="1">
              <a:latin typeface="Arial" panose="020B0604020202020204" pitchFamily="34" charset="0"/>
            </a:rPr>
            <a:t>Scale: </a:t>
          </a:r>
        </a:p>
        <a:p>
          <a:pPr marL="0" rtl="0" eaLnBrk="1" fontAlgn="ctr" latinLnBrk="0" hangingPunct="1">
            <a:lnSpc>
              <a:spcPct val="100000"/>
            </a:lnSpc>
          </a:pPr>
          <a:r>
            <a:rPr lang="de-DE" sz="1200" i="0" u="none" strike="noStrike" kern="1200">
              <a:effectLst/>
              <a:latin typeface="Arial" panose="020B0604020202020204" pitchFamily="34" charset="0"/>
            </a:rPr>
            <a:t>1 very low</a:t>
          </a:r>
        </a:p>
        <a:p>
          <a:pPr marL="0" rtl="0" eaLnBrk="1" fontAlgn="ctr" latinLnBrk="0" hangingPunct="1">
            <a:lnSpc>
              <a:spcPct val="100000"/>
            </a:lnSpc>
          </a:pPr>
          <a:r>
            <a:rPr lang="de-DE" sz="1200">
              <a:latin typeface="Arial" panose="020B0604020202020204" pitchFamily="34" charset="0"/>
            </a:rPr>
            <a:t>2 low</a:t>
          </a:r>
        </a:p>
        <a:p>
          <a:pPr marL="0" rtl="0" eaLnBrk="1" fontAlgn="ctr" latinLnBrk="0" hangingPunct="1">
            <a:lnSpc>
              <a:spcPct val="100000"/>
            </a:lnSpc>
          </a:pPr>
          <a:r>
            <a:rPr lang="de-DE" sz="1200" i="0" u="none" strike="noStrike" kern="1200">
              <a:effectLst/>
              <a:latin typeface="Arial" panose="020B0604020202020204" pitchFamily="34" charset="0"/>
            </a:rPr>
            <a:t>3 medium</a:t>
          </a:r>
        </a:p>
        <a:p>
          <a:pPr marL="0" rtl="0" eaLnBrk="1" fontAlgn="ctr" latinLnBrk="0" hangingPunct="1">
            <a:lnSpc>
              <a:spcPct val="100000"/>
            </a:lnSpc>
          </a:pPr>
          <a:r>
            <a:rPr lang="de-DE" sz="1200">
              <a:latin typeface="Arial" panose="020B0604020202020204" pitchFamily="34" charset="0"/>
            </a:rPr>
            <a:t>4 high</a:t>
          </a:r>
        </a:p>
        <a:p>
          <a:pPr marL="0" rtl="0" eaLnBrk="1" fontAlgn="ctr" latinLnBrk="0" hangingPunct="1">
            <a:lnSpc>
              <a:spcPct val="100000"/>
            </a:lnSpc>
          </a:pPr>
          <a:r>
            <a:rPr lang="de-DE" sz="1200" i="0" u="none" strike="noStrike" kern="1200">
              <a:effectLst/>
              <a:latin typeface="Arial" panose="020B0604020202020204" pitchFamily="34" charset="0"/>
            </a:rPr>
            <a:t>5 very high</a:t>
          </a:r>
        </a:p>
      </xdr:txBody>
    </xdr:sp>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3" Type="http://schemas.openxmlformats.org/officeDocument/2006/relationships/hyperlink" Target="https://www.iea.org/reports/key-world-energy-statistics-2021" TargetMode="External"/><Relationship Id="rId2" Type="http://schemas.openxmlformats.org/officeDocument/2006/relationships/hyperlink" Target="https://www.umweltbundesamt.de/sites/default/files/medien/361/dokumente/2023_01_26_em_entwicklung_in_d_trendtabelle_hm_v1.0.xlsx" TargetMode="External"/><Relationship Id="rId1" Type="http://schemas.openxmlformats.org/officeDocument/2006/relationships/hyperlink" Target="https://www.umweltbundesamt.de/sites/default/files/medien/361/dokumente/2023_01_26_em_entwicklung_in_d_trendtabelle_hm_v1.0.xlsx" TargetMode="External"/><Relationship Id="rId4" Type="http://schemas.openxmlformats.org/officeDocument/2006/relationships/hyperlink" Target="https://www.oecd.org/content/dam/oecd/en/publications/reports/2015/02/material-resources-productivity-and-the-environment_g1g27386/9789264190504-en.pdf"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https://iea.blob.core.windows.net/assets/3af7fda6-8fd9-46b7-bede-395f7f8f9943/RecyclingofCriticalMinerals.pdf" TargetMode="External"/><Relationship Id="rId2" Type="http://schemas.openxmlformats.org/officeDocument/2006/relationships/hyperlink" Target="https://www.irbnet.de/daten/rswb/20029011317.pdf" TargetMode="External"/><Relationship Id="rId1" Type="http://schemas.openxmlformats.org/officeDocument/2006/relationships/hyperlink" Target="https://international-aluminium.org/wp-content/uploads/2009/06/Global-aluminium-recycling.pdf" TargetMode="External"/><Relationship Id="rId6" Type="http://schemas.openxmlformats.org/officeDocument/2006/relationships/hyperlink" Target="https://www.google.com/url?sa=t&amp;source=web&amp;rct=j&amp;opi=89978449&amp;url=https://www.umsicht.fraunhofer.de/content/dam/umsicht/de/dokumente/publikationen/2022/2022-04_Kunststoffbasierte-Mehrwegsysteme-in-der-Circular-Economy_Fraunhofer-UMSICHT.pdf&amp;ved=2ahUKEwj67PmpiO2PAxUxUaQEHbgOHccQFnoECBcQAQ&amp;usg=AOvVaw0AX9w3L3TTjTLx-OHTJdEE" TargetMode="External"/><Relationship Id="rId5" Type="http://schemas.openxmlformats.org/officeDocument/2006/relationships/hyperlink" Target="https://www.google.com/url?sa=t&amp;source=web&amp;rct=j&amp;opi=89978449&amp;url=https://www.umsicht.fraunhofer.de/content/dam/umsicht/de/dokumente/publikationen/2022/2022-04_Kunststoffbasierte-Mehrwegsysteme-in-der-Circular-Economy_Fraunhofer-UMSICHT.pdf&amp;ved=2ahUKEwj67PmpiO2PAxUxUaQEHbgOHccQFnoECBcQAQ&amp;usg=AOvVaw0AX9w3L3TTjTLx-OHTJdEE" TargetMode="External"/><Relationship Id="rId4" Type="http://schemas.openxmlformats.org/officeDocument/2006/relationships/hyperlink" Target="https://feve.org/wp-content/uploads/2016/09/FEVE_infographic_Permanent-material-v4.0-final.pdf" TargetMode="External"/></Relationships>
</file>

<file path=xl/worksheets/_rels/sheet4.xml.rels><?xml version="1.0" encoding="UTF-8" standalone="yes"?>
<Relationships xmlns="http://schemas.openxmlformats.org/package/2006/relationships"><Relationship Id="rId2" Type="http://schemas.openxmlformats.org/officeDocument/2006/relationships/hyperlink" Target="https://www.pius-info.de/dokumente/download/eutech_0909_leitfaden_energieeff.pdf" TargetMode="External"/><Relationship Id="rId1" Type="http://schemas.openxmlformats.org/officeDocument/2006/relationships/hyperlink" Target="https://pmc.ncbi.nlm.nih.gov/articles/PMC10416556/"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ourworldindata.org/grapher/solar-pv-prices" TargetMode="External"/><Relationship Id="rId1" Type="http://schemas.openxmlformats.org/officeDocument/2006/relationships/hyperlink" Target="https://ourworldindata.org/grapher/levelized-cost-of-energy"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8" Type="http://schemas.openxmlformats.org/officeDocument/2006/relationships/hyperlink" Target="https://kupfer.de/kupferwerkstoffe/kupfer/produktionsprozesse/gewinnung/" TargetMode="External"/><Relationship Id="rId13" Type="http://schemas.openxmlformats.org/officeDocument/2006/relationships/hyperlink" Target="https://ourworldindata.org/explorers/minerals?Mineral=Copper&amp;Metric=Production&amp;Type=Mine&amp;Share+of+global=false&amp;country=OWID_WRL~AUS~CHL~CHN~USA" TargetMode="External"/><Relationship Id="rId3" Type="http://schemas.openxmlformats.org/officeDocument/2006/relationships/hyperlink" Target="https://elementummetals.com/de/articles/nickel-die-alte-wirtschaft-aufbauen-die-neue-antreiben" TargetMode="External"/><Relationship Id="rId7" Type="http://schemas.openxmlformats.org/officeDocument/2006/relationships/hyperlink" Target="https://www.prominetech.com/de/news/how-is-iron-ore-mined-a-step-by-step-process-explained/" TargetMode="External"/><Relationship Id="rId12" Type="http://schemas.openxmlformats.org/officeDocument/2006/relationships/hyperlink" Target="https://ourworldindata.org/explorers/minerals?Mineral=Copper&amp;Metric=Production&amp;Type=Mine&amp;Share+of+global=false&amp;country=OWID_WRL~AUS~CHL~CHN~USA" TargetMode="External"/><Relationship Id="rId2" Type="http://schemas.openxmlformats.org/officeDocument/2006/relationships/hyperlink" Target="https://institut-seltene-erden.de/seltene-erden-und-metalle/strategische-metalle-2/mangan/" TargetMode="External"/><Relationship Id="rId16" Type="http://schemas.openxmlformats.org/officeDocument/2006/relationships/drawing" Target="../drawings/drawing4.xml"/><Relationship Id="rId1" Type="http://schemas.openxmlformats.org/officeDocument/2006/relationships/hyperlink" Target="https://www.spektrum.de/lexikon/geowissenschaften/bauxitlagerstaetten/1494" TargetMode="External"/><Relationship Id="rId6" Type="http://schemas.openxmlformats.org/officeDocument/2006/relationships/hyperlink" Target="https://www.chemie.de/lexikon/Chrom.html" TargetMode="External"/><Relationship Id="rId11" Type="http://schemas.openxmlformats.org/officeDocument/2006/relationships/hyperlink" Target="https://ourworldindata.org/explorers/minerals?Mineral=Copper&amp;Metric=Production&amp;Type=Mine&amp;Share+of+global=false&amp;country=OWID_WRL~AUS~CHL~CHN~USA" TargetMode="External"/><Relationship Id="rId5" Type="http://schemas.openxmlformats.org/officeDocument/2006/relationships/hyperlink" Target="https://www.vattenfall.de/glossar/kohle" TargetMode="External"/><Relationship Id="rId15" Type="http://schemas.openxmlformats.org/officeDocument/2006/relationships/hyperlink" Target="https://ourworldindata.org/explorers/minerals?Mineral=Copper&amp;Metric=Production&amp;Type=Mine&amp;Share+of+global=false&amp;country=OWID_WRL~AUS~CHL~CHN~USA" TargetMode="External"/><Relationship Id="rId10" Type="http://schemas.openxmlformats.org/officeDocument/2006/relationships/hyperlink" Target="https://ourworldindata.org/explorers/minerals?Mineral=Copper&amp;Metric=Production&amp;Type=Mine&amp;Share+of+global=false&amp;country=OWID_WRL~AUS~CHL~CHN~USA" TargetMode="External"/><Relationship Id="rId4" Type="http://schemas.openxmlformats.org/officeDocument/2006/relationships/hyperlink" Target="https://www.erdoelmuseum.de/technik/41-gewinnung-von-erdoel-und-erdgas" TargetMode="External"/><Relationship Id="rId9" Type="http://schemas.openxmlformats.org/officeDocument/2006/relationships/hyperlink" Target="https://www.encyclopedie-energie.org/en/world-energy-consumption-1800-2000-results/" TargetMode="External"/><Relationship Id="rId14" Type="http://schemas.openxmlformats.org/officeDocument/2006/relationships/hyperlink" Target="https://ourworldindata.org/explorers/minerals?Mineral=Copper&amp;Metric=Production&amp;Type=Mine&amp;Share+of+global=false&amp;country=OWID_WRL~AUS~CHL~CHN~USA"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073170-E15C-43BD-BFEA-429241B08E1F}">
  <dimension ref="A1"/>
  <sheetViews>
    <sheetView workbookViewId="0"/>
  </sheetViews>
  <sheetFormatPr baseColWidth="10" defaultRowHeight="15" x14ac:dyDescent="0.2"/>
  <cols>
    <col min="1" max="1" width="130.6640625" customWidth="1"/>
  </cols>
  <sheetData>
    <row r="1" spans="1:1" ht="368" x14ac:dyDescent="0.3">
      <c r="A1" s="89" t="s">
        <v>361</v>
      </c>
    </row>
  </sheetData>
  <pageMargins left="0.7" right="0.7" top="0.78740157499999996" bottom="0.78740157499999996"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FED2A1-5F7F-43CC-8A36-C7579F0D4376}">
  <dimension ref="A1:O108"/>
  <sheetViews>
    <sheetView zoomScale="75" zoomScaleNormal="70" workbookViewId="0">
      <pane xSplit="3" topLeftCell="D1" activePane="topRight" state="frozen"/>
      <selection pane="topRight" activeCell="I6" sqref="I6"/>
    </sheetView>
  </sheetViews>
  <sheetFormatPr baseColWidth="10" defaultColWidth="11.5" defaultRowHeight="15" x14ac:dyDescent="0.2"/>
  <cols>
    <col min="1" max="1" width="49.1640625" style="1" bestFit="1" customWidth="1"/>
    <col min="2" max="2" width="33.83203125" style="1" customWidth="1"/>
    <col min="3" max="3" width="31.83203125" style="1" customWidth="1"/>
    <col min="4" max="4" width="41.83203125" style="2" customWidth="1"/>
    <col min="5" max="5" width="19.1640625" style="1" customWidth="1"/>
    <col min="6" max="6" width="37.1640625" style="1" customWidth="1"/>
    <col min="7" max="7" width="11.5" style="3"/>
    <col min="8" max="8" width="56.1640625" style="2" customWidth="1"/>
    <col min="9" max="9" width="86.1640625" style="1" customWidth="1"/>
    <col min="10" max="11" width="33.5" style="1" customWidth="1"/>
    <col min="12" max="12" width="43" style="2" bestFit="1" customWidth="1"/>
    <col min="13" max="13" width="87" style="1" customWidth="1"/>
    <col min="14" max="14" width="32.5" style="1" customWidth="1"/>
    <col min="15" max="15" width="23.1640625" style="3" customWidth="1"/>
    <col min="16" max="16384" width="11.5" style="1"/>
  </cols>
  <sheetData>
    <row r="1" spans="1:15" s="76" customFormat="1" x14ac:dyDescent="0.2">
      <c r="D1" s="77"/>
      <c r="G1" s="78"/>
      <c r="H1" s="77"/>
      <c r="L1" s="77"/>
      <c r="O1" s="78"/>
    </row>
    <row r="2" spans="1:15" s="83" customFormat="1" ht="54.5" customHeight="1" x14ac:dyDescent="0.2">
      <c r="A2" s="79" t="s">
        <v>0</v>
      </c>
      <c r="B2" s="79"/>
      <c r="C2" s="79"/>
      <c r="D2" s="80" t="s">
        <v>282</v>
      </c>
      <c r="E2" s="79"/>
      <c r="F2" s="79"/>
      <c r="G2" s="81"/>
      <c r="H2" s="80" t="s">
        <v>281</v>
      </c>
      <c r="I2" s="79"/>
      <c r="J2" s="79"/>
      <c r="K2" s="82"/>
      <c r="L2" s="80" t="s">
        <v>280</v>
      </c>
      <c r="M2" s="79"/>
      <c r="N2" s="79"/>
      <c r="O2" s="81"/>
    </row>
    <row r="3" spans="1:15" s="84" customFormat="1" ht="31.75" customHeight="1" x14ac:dyDescent="0.2">
      <c r="A3" s="84" t="s">
        <v>1</v>
      </c>
      <c r="B3" s="84" t="s">
        <v>2</v>
      </c>
      <c r="C3" s="84" t="s">
        <v>3</v>
      </c>
      <c r="D3" s="85" t="s">
        <v>1</v>
      </c>
      <c r="E3" s="84" t="s">
        <v>2</v>
      </c>
      <c r="F3" s="84" t="s">
        <v>3</v>
      </c>
      <c r="G3" s="86" t="s">
        <v>4</v>
      </c>
      <c r="H3" s="85" t="s">
        <v>1</v>
      </c>
      <c r="I3" s="84" t="s">
        <v>2</v>
      </c>
      <c r="J3" s="84" t="s">
        <v>4</v>
      </c>
      <c r="K3" s="84" t="s">
        <v>3</v>
      </c>
      <c r="L3" s="85" t="s">
        <v>1</v>
      </c>
      <c r="M3" s="84" t="s">
        <v>2</v>
      </c>
      <c r="N3" s="84" t="s">
        <v>3</v>
      </c>
      <c r="O3" s="86" t="s">
        <v>4</v>
      </c>
    </row>
    <row r="4" spans="1:15" s="76" customFormat="1" x14ac:dyDescent="0.2">
      <c r="D4" s="77"/>
      <c r="G4" s="78"/>
      <c r="H4" s="77"/>
      <c r="L4" s="77"/>
      <c r="O4" s="78"/>
    </row>
    <row r="5" spans="1:15" s="21" customFormat="1" ht="65" thickBot="1" x14ac:dyDescent="0.25">
      <c r="A5" s="15" t="s">
        <v>5</v>
      </c>
      <c r="B5" s="15" t="s">
        <v>6</v>
      </c>
      <c r="C5" s="16" t="s">
        <v>7</v>
      </c>
      <c r="D5" s="17" t="s">
        <v>5</v>
      </c>
      <c r="E5" s="15" t="s">
        <v>8</v>
      </c>
      <c r="F5" s="18" t="s">
        <v>11</v>
      </c>
      <c r="G5" s="19"/>
      <c r="H5" s="20" t="s">
        <v>9</v>
      </c>
      <c r="I5" s="21" t="s">
        <v>8</v>
      </c>
      <c r="J5" s="18"/>
      <c r="K5" s="18" t="s">
        <v>320</v>
      </c>
      <c r="L5" s="22" t="s">
        <v>10</v>
      </c>
      <c r="M5" s="23"/>
      <c r="N5" s="23"/>
      <c r="O5" s="16"/>
    </row>
    <row r="6" spans="1:15" s="18" customFormat="1" ht="49" thickBot="1" x14ac:dyDescent="0.25">
      <c r="A6" s="15"/>
      <c r="B6" s="15"/>
      <c r="C6" s="16"/>
      <c r="D6" s="17"/>
      <c r="E6" s="15"/>
      <c r="F6" s="18" t="s">
        <v>319</v>
      </c>
      <c r="G6" s="24"/>
      <c r="H6" s="18" t="s">
        <v>12</v>
      </c>
      <c r="I6" s="18" t="s">
        <v>13</v>
      </c>
      <c r="K6" s="18" t="s">
        <v>321</v>
      </c>
      <c r="L6" s="25" t="s">
        <v>10</v>
      </c>
      <c r="M6" s="26"/>
      <c r="N6" s="26"/>
      <c r="O6" s="27"/>
    </row>
    <row r="7" spans="1:15" s="36" customFormat="1" ht="48" x14ac:dyDescent="0.2">
      <c r="A7" s="36" t="s">
        <v>14</v>
      </c>
      <c r="B7" s="36" t="s">
        <v>15</v>
      </c>
      <c r="C7" s="37"/>
      <c r="D7" s="38"/>
      <c r="G7" s="39"/>
      <c r="H7" s="36" t="s">
        <v>14</v>
      </c>
      <c r="I7" s="36" t="s">
        <v>16</v>
      </c>
      <c r="K7" s="36" t="s">
        <v>284</v>
      </c>
      <c r="L7" s="38" t="s">
        <v>14</v>
      </c>
      <c r="M7" s="36" t="s">
        <v>17</v>
      </c>
      <c r="N7" s="36" t="s">
        <v>18</v>
      </c>
      <c r="O7" s="39"/>
    </row>
    <row r="8" spans="1:15" s="21" customFormat="1" ht="32" x14ac:dyDescent="0.2">
      <c r="A8" s="15" t="s">
        <v>19</v>
      </c>
      <c r="B8" s="15" t="s">
        <v>20</v>
      </c>
      <c r="D8" s="20"/>
      <c r="G8" s="19"/>
      <c r="H8" s="20" t="s">
        <v>19</v>
      </c>
      <c r="I8" s="21" t="s">
        <v>21</v>
      </c>
      <c r="K8" s="21" t="s">
        <v>283</v>
      </c>
      <c r="L8" s="20" t="s">
        <v>22</v>
      </c>
      <c r="M8" s="21" t="s">
        <v>23</v>
      </c>
      <c r="N8" s="21" t="s">
        <v>24</v>
      </c>
      <c r="O8" s="19"/>
    </row>
    <row r="9" spans="1:15" s="21" customFormat="1" ht="32" x14ac:dyDescent="0.2">
      <c r="A9" s="15"/>
      <c r="B9" s="15"/>
      <c r="D9" s="20"/>
      <c r="G9" s="19"/>
      <c r="H9" s="20" t="s">
        <v>25</v>
      </c>
      <c r="I9" s="21" t="s">
        <v>26</v>
      </c>
      <c r="K9" s="21" t="s">
        <v>283</v>
      </c>
      <c r="L9" s="20" t="s">
        <v>27</v>
      </c>
      <c r="M9" s="21" t="s">
        <v>28</v>
      </c>
      <c r="N9" s="21" t="s">
        <v>29</v>
      </c>
      <c r="O9" s="19"/>
    </row>
    <row r="10" spans="1:15" s="36" customFormat="1" ht="16" x14ac:dyDescent="0.2">
      <c r="A10" s="36" t="s">
        <v>30</v>
      </c>
      <c r="B10" s="36">
        <v>10</v>
      </c>
      <c r="D10" s="38"/>
      <c r="G10" s="39"/>
      <c r="H10" s="38" t="s">
        <v>30</v>
      </c>
      <c r="I10" s="36">
        <v>5</v>
      </c>
      <c r="K10" s="36" t="s">
        <v>285</v>
      </c>
      <c r="L10" s="38" t="s">
        <v>30</v>
      </c>
      <c r="M10" s="36">
        <v>5</v>
      </c>
      <c r="N10" s="36" t="s">
        <v>31</v>
      </c>
      <c r="O10" s="39"/>
    </row>
    <row r="11" spans="1:15" s="21" customFormat="1" ht="48" x14ac:dyDescent="0.2">
      <c r="A11" s="15" t="s">
        <v>32</v>
      </c>
      <c r="B11" s="15" t="s">
        <v>33</v>
      </c>
      <c r="D11" s="20"/>
      <c r="G11" s="19"/>
      <c r="H11" s="20" t="s">
        <v>32</v>
      </c>
      <c r="I11" s="21" t="s">
        <v>34</v>
      </c>
      <c r="J11" s="21" t="s">
        <v>289</v>
      </c>
      <c r="K11" s="21" t="s">
        <v>288</v>
      </c>
      <c r="L11" s="20" t="s">
        <v>32</v>
      </c>
      <c r="M11" s="21" t="s">
        <v>34</v>
      </c>
      <c r="N11" s="21" t="s">
        <v>35</v>
      </c>
      <c r="O11" s="19"/>
    </row>
    <row r="12" spans="1:15" s="21" customFormat="1" ht="96" x14ac:dyDescent="0.2">
      <c r="A12" s="15"/>
      <c r="B12" s="15"/>
      <c r="D12" s="20"/>
      <c r="G12" s="19"/>
      <c r="H12" s="20" t="s">
        <v>36</v>
      </c>
      <c r="I12" s="21" t="s">
        <v>37</v>
      </c>
      <c r="J12" s="21" t="s">
        <v>287</v>
      </c>
      <c r="K12" s="21" t="s">
        <v>286</v>
      </c>
      <c r="L12" s="20" t="s">
        <v>38</v>
      </c>
      <c r="M12" s="21" t="s">
        <v>37</v>
      </c>
      <c r="N12" s="21" t="s">
        <v>39</v>
      </c>
      <c r="O12" s="19"/>
    </row>
    <row r="13" spans="1:15" s="36" customFormat="1" ht="128" x14ac:dyDescent="0.2">
      <c r="A13" s="41" t="s">
        <v>40</v>
      </c>
      <c r="B13" s="41" t="s">
        <v>41</v>
      </c>
      <c r="D13" s="38"/>
      <c r="G13" s="39"/>
      <c r="H13" s="38" t="s">
        <v>40</v>
      </c>
      <c r="I13" s="36" t="s">
        <v>42</v>
      </c>
      <c r="J13" s="40" t="s">
        <v>291</v>
      </c>
      <c r="K13" s="36" t="s">
        <v>290</v>
      </c>
      <c r="L13" s="38" t="s">
        <v>40</v>
      </c>
      <c r="M13" s="36" t="s">
        <v>42</v>
      </c>
      <c r="O13" s="39"/>
    </row>
    <row r="14" spans="1:15" s="36" customFormat="1" ht="128" x14ac:dyDescent="0.2">
      <c r="A14" s="41"/>
      <c r="B14" s="41"/>
      <c r="D14" s="38"/>
      <c r="G14" s="39"/>
      <c r="H14" s="38" t="s">
        <v>43</v>
      </c>
      <c r="I14" s="36" t="s">
        <v>44</v>
      </c>
      <c r="J14" s="40" t="s">
        <v>291</v>
      </c>
      <c r="K14" s="36" t="s">
        <v>290</v>
      </c>
      <c r="L14" s="38" t="s">
        <v>45</v>
      </c>
      <c r="M14" s="36" t="s">
        <v>44</v>
      </c>
      <c r="N14" s="36" t="s">
        <v>46</v>
      </c>
      <c r="O14" s="39"/>
    </row>
    <row r="15" spans="1:15" s="21" customFormat="1" x14ac:dyDescent="0.2">
      <c r="A15" s="15" t="s">
        <v>47</v>
      </c>
      <c r="B15" s="15" t="s">
        <v>48</v>
      </c>
      <c r="D15" s="20"/>
      <c r="G15" s="19"/>
      <c r="H15" s="17" t="s">
        <v>47</v>
      </c>
      <c r="I15" s="23" t="s">
        <v>49</v>
      </c>
      <c r="J15" s="23"/>
      <c r="K15" s="28"/>
      <c r="L15" s="22" t="s">
        <v>47</v>
      </c>
      <c r="M15" s="23" t="s">
        <v>50</v>
      </c>
      <c r="N15" s="23" t="s">
        <v>51</v>
      </c>
      <c r="O15" s="16"/>
    </row>
    <row r="16" spans="1:15" s="21" customFormat="1" x14ac:dyDescent="0.2">
      <c r="A16" s="15"/>
      <c r="B16" s="15"/>
      <c r="D16" s="20"/>
      <c r="G16" s="19"/>
      <c r="H16" s="17"/>
      <c r="I16" s="23"/>
      <c r="J16" s="23"/>
      <c r="K16" s="28"/>
      <c r="L16" s="22"/>
      <c r="M16" s="23"/>
      <c r="N16" s="23"/>
      <c r="O16" s="16"/>
    </row>
    <row r="17" spans="1:15" s="36" customFormat="1" ht="32" x14ac:dyDescent="0.2">
      <c r="A17" s="41" t="s">
        <v>52</v>
      </c>
      <c r="B17" s="41" t="s">
        <v>53</v>
      </c>
      <c r="D17" s="38"/>
      <c r="G17" s="39"/>
      <c r="H17" s="38" t="s">
        <v>54</v>
      </c>
      <c r="I17" s="36" t="s">
        <v>55</v>
      </c>
      <c r="K17" s="36" t="s">
        <v>283</v>
      </c>
      <c r="L17" s="42" t="s">
        <v>56</v>
      </c>
      <c r="M17" s="43"/>
      <c r="N17" s="43"/>
      <c r="O17" s="44"/>
    </row>
    <row r="18" spans="1:15" s="36" customFormat="1" ht="32" x14ac:dyDescent="0.2">
      <c r="A18" s="41"/>
      <c r="B18" s="41"/>
      <c r="D18" s="38"/>
      <c r="G18" s="39"/>
      <c r="H18" s="38" t="s">
        <v>57</v>
      </c>
      <c r="I18" s="36" t="s">
        <v>58</v>
      </c>
      <c r="K18" s="36" t="s">
        <v>283</v>
      </c>
      <c r="L18" s="42" t="s">
        <v>59</v>
      </c>
      <c r="M18" s="43"/>
      <c r="N18" s="43"/>
      <c r="O18" s="44"/>
    </row>
    <row r="19" spans="1:15" s="21" customFormat="1" ht="32" x14ac:dyDescent="0.2">
      <c r="A19" s="15" t="s">
        <v>60</v>
      </c>
      <c r="B19" s="15" t="s">
        <v>61</v>
      </c>
      <c r="D19" s="20"/>
      <c r="G19" s="19"/>
      <c r="H19" s="20" t="s">
        <v>62</v>
      </c>
      <c r="I19" s="21" t="s">
        <v>63</v>
      </c>
      <c r="K19" s="21" t="s">
        <v>283</v>
      </c>
      <c r="L19" s="22" t="s">
        <v>59</v>
      </c>
      <c r="M19" s="23"/>
      <c r="N19" s="23"/>
      <c r="O19" s="16"/>
    </row>
    <row r="20" spans="1:15" s="21" customFormat="1" ht="32" x14ac:dyDescent="0.2">
      <c r="A20" s="15"/>
      <c r="B20" s="15"/>
      <c r="D20" s="20"/>
      <c r="G20" s="19"/>
      <c r="H20" s="20" t="s">
        <v>64</v>
      </c>
      <c r="I20" s="21" t="s">
        <v>65</v>
      </c>
      <c r="K20" s="21" t="s">
        <v>283</v>
      </c>
      <c r="L20" s="22" t="s">
        <v>59</v>
      </c>
      <c r="M20" s="23"/>
      <c r="N20" s="23"/>
      <c r="O20" s="16"/>
    </row>
    <row r="21" spans="1:15" s="36" customFormat="1" ht="32" x14ac:dyDescent="0.2">
      <c r="A21" s="41" t="s">
        <v>66</v>
      </c>
      <c r="B21" s="41" t="s">
        <v>67</v>
      </c>
      <c r="D21" s="38"/>
      <c r="G21" s="39"/>
      <c r="H21" s="38" t="s">
        <v>68</v>
      </c>
      <c r="I21" s="36" t="s">
        <v>69</v>
      </c>
      <c r="J21" s="36" t="str">
        <f>'Fraction of capital allocated t'!A1</f>
        <v>Fraction of capital allocated to obtaining resources tables</v>
      </c>
      <c r="K21" s="36" t="s">
        <v>292</v>
      </c>
      <c r="L21" s="42" t="s">
        <v>59</v>
      </c>
      <c r="M21" s="43"/>
      <c r="N21" s="43"/>
      <c r="O21" s="44"/>
    </row>
    <row r="22" spans="1:15" s="36" customFormat="1" ht="32" x14ac:dyDescent="0.2">
      <c r="A22" s="41"/>
      <c r="B22" s="41"/>
      <c r="D22" s="38"/>
      <c r="G22" s="39"/>
      <c r="H22" s="38" t="s">
        <v>70</v>
      </c>
      <c r="I22" s="36" t="s">
        <v>71</v>
      </c>
      <c r="K22" s="36" t="s">
        <v>292</v>
      </c>
      <c r="L22" s="42" t="s">
        <v>59</v>
      </c>
      <c r="M22" s="43"/>
      <c r="N22" s="43"/>
      <c r="O22" s="44"/>
    </row>
    <row r="23" spans="1:15" s="21" customFormat="1" ht="48" x14ac:dyDescent="0.2">
      <c r="A23" s="15" t="s">
        <v>72</v>
      </c>
      <c r="B23" s="15" t="s">
        <v>73</v>
      </c>
      <c r="D23" s="20"/>
      <c r="G23" s="19"/>
      <c r="H23" s="20" t="s">
        <v>74</v>
      </c>
      <c r="I23" s="21" t="s">
        <v>75</v>
      </c>
      <c r="K23" s="21" t="s">
        <v>293</v>
      </c>
      <c r="L23" s="22" t="s">
        <v>59</v>
      </c>
      <c r="M23" s="23"/>
      <c r="N23" s="23"/>
      <c r="O23" s="16"/>
    </row>
    <row r="24" spans="1:15" s="21" customFormat="1" ht="48" x14ac:dyDescent="0.2">
      <c r="A24" s="15"/>
      <c r="B24" s="15"/>
      <c r="D24" s="20"/>
      <c r="G24" s="19"/>
      <c r="H24" s="20" t="s">
        <v>76</v>
      </c>
      <c r="I24" s="21" t="s">
        <v>77</v>
      </c>
      <c r="K24" s="21" t="s">
        <v>294</v>
      </c>
      <c r="L24" s="22" t="s">
        <v>59</v>
      </c>
      <c r="M24" s="23"/>
      <c r="N24" s="23"/>
      <c r="O24" s="16"/>
    </row>
    <row r="25" spans="1:15" s="36" customFormat="1" ht="32" x14ac:dyDescent="0.2">
      <c r="A25" s="41" t="s">
        <v>78</v>
      </c>
      <c r="B25" s="41" t="s">
        <v>79</v>
      </c>
      <c r="C25" s="45"/>
      <c r="D25" s="38"/>
      <c r="G25" s="39"/>
      <c r="H25" s="38" t="s">
        <v>80</v>
      </c>
      <c r="I25" s="36" t="s">
        <v>81</v>
      </c>
      <c r="K25" s="46" t="s">
        <v>283</v>
      </c>
      <c r="L25" s="38"/>
      <c r="O25" s="39"/>
    </row>
    <row r="26" spans="1:15" s="36" customFormat="1" ht="32" x14ac:dyDescent="0.2">
      <c r="A26" s="41"/>
      <c r="B26" s="41"/>
      <c r="C26" s="45"/>
      <c r="D26" s="38"/>
      <c r="G26" s="39"/>
      <c r="H26" s="38" t="s">
        <v>82</v>
      </c>
      <c r="I26" s="36" t="s">
        <v>83</v>
      </c>
      <c r="K26" s="46" t="s">
        <v>283</v>
      </c>
      <c r="L26" s="38" t="s">
        <v>82</v>
      </c>
      <c r="M26" s="36" t="s">
        <v>84</v>
      </c>
      <c r="N26" s="36" t="s">
        <v>85</v>
      </c>
      <c r="O26" s="39"/>
    </row>
    <row r="27" spans="1:15" s="21" customFormat="1" ht="32" x14ac:dyDescent="0.2">
      <c r="A27" s="15" t="s">
        <v>86</v>
      </c>
      <c r="B27" s="15" t="s">
        <v>87</v>
      </c>
      <c r="D27" s="20"/>
      <c r="G27" s="19"/>
      <c r="H27" s="20" t="s">
        <v>88</v>
      </c>
      <c r="I27" s="21" t="s">
        <v>89</v>
      </c>
      <c r="K27" s="29" t="s">
        <v>283</v>
      </c>
      <c r="L27" s="20" t="s">
        <v>88</v>
      </c>
      <c r="M27" s="21" t="s">
        <v>90</v>
      </c>
      <c r="N27" s="21" t="s">
        <v>91</v>
      </c>
      <c r="O27" s="19"/>
    </row>
    <row r="28" spans="1:15" s="21" customFormat="1" ht="32" x14ac:dyDescent="0.2">
      <c r="A28" s="15"/>
      <c r="B28" s="15"/>
      <c r="D28" s="20"/>
      <c r="G28" s="19"/>
      <c r="H28" s="20" t="s">
        <v>92</v>
      </c>
      <c r="I28" s="21" t="s">
        <v>93</v>
      </c>
      <c r="K28" s="29" t="s">
        <v>283</v>
      </c>
      <c r="L28" s="20" t="s">
        <v>94</v>
      </c>
      <c r="M28" s="21" t="s">
        <v>95</v>
      </c>
      <c r="N28" s="21" t="s">
        <v>96</v>
      </c>
      <c r="O28" s="19"/>
    </row>
    <row r="29" spans="1:15" s="36" customFormat="1" ht="32" x14ac:dyDescent="0.2">
      <c r="A29" s="41" t="s">
        <v>97</v>
      </c>
      <c r="B29" s="41" t="s">
        <v>98</v>
      </c>
      <c r="D29" s="38"/>
      <c r="G29" s="39"/>
      <c r="H29" s="38" t="s">
        <v>99</v>
      </c>
      <c r="I29" s="36" t="s">
        <v>100</v>
      </c>
      <c r="K29" s="46" t="s">
        <v>283</v>
      </c>
      <c r="L29" s="38" t="s">
        <v>99</v>
      </c>
      <c r="M29" s="36" t="s">
        <v>101</v>
      </c>
      <c r="N29" s="36" t="s">
        <v>102</v>
      </c>
      <c r="O29" s="39"/>
    </row>
    <row r="30" spans="1:15" s="36" customFormat="1" ht="32" x14ac:dyDescent="0.2">
      <c r="A30" s="41"/>
      <c r="B30" s="41"/>
      <c r="D30" s="38"/>
      <c r="G30" s="39"/>
      <c r="H30" s="38" t="s">
        <v>103</v>
      </c>
      <c r="I30" s="36" t="s">
        <v>104</v>
      </c>
      <c r="K30" s="46" t="s">
        <v>283</v>
      </c>
      <c r="L30" s="38" t="s">
        <v>103</v>
      </c>
      <c r="M30" s="36" t="s">
        <v>105</v>
      </c>
      <c r="N30" s="36" t="s">
        <v>106</v>
      </c>
      <c r="O30" s="39"/>
    </row>
    <row r="31" spans="1:15" s="21" customFormat="1" ht="80" x14ac:dyDescent="0.2">
      <c r="A31" s="15" t="s">
        <v>107</v>
      </c>
      <c r="B31" s="30" t="s">
        <v>108</v>
      </c>
      <c r="D31" s="20"/>
      <c r="G31" s="19"/>
      <c r="H31" s="20" t="s">
        <v>109</v>
      </c>
      <c r="I31" s="21" t="s">
        <v>108</v>
      </c>
      <c r="K31" s="21" t="s">
        <v>295</v>
      </c>
      <c r="L31" s="22" t="s">
        <v>59</v>
      </c>
      <c r="M31" s="23"/>
      <c r="N31" s="23"/>
      <c r="O31" s="16"/>
    </row>
    <row r="32" spans="1:15" s="21" customFormat="1" ht="80" x14ac:dyDescent="0.2">
      <c r="A32" s="15"/>
      <c r="B32" s="15"/>
      <c r="D32" s="20"/>
      <c r="G32" s="19"/>
      <c r="H32" s="20" t="s">
        <v>110</v>
      </c>
      <c r="I32" s="21" t="s">
        <v>108</v>
      </c>
      <c r="K32" s="21" t="s">
        <v>295</v>
      </c>
      <c r="L32" s="22" t="s">
        <v>59</v>
      </c>
      <c r="M32" s="23"/>
      <c r="N32" s="23"/>
      <c r="O32" s="16"/>
    </row>
    <row r="33" spans="1:15" s="36" customFormat="1" ht="32" x14ac:dyDescent="0.2">
      <c r="A33" s="41" t="s">
        <v>111</v>
      </c>
      <c r="B33" s="41" t="s">
        <v>112</v>
      </c>
      <c r="D33" s="38"/>
      <c r="G33" s="39"/>
      <c r="H33" s="38" t="s">
        <v>113</v>
      </c>
      <c r="I33" s="36" t="s">
        <v>114</v>
      </c>
      <c r="K33" s="46" t="s">
        <v>283</v>
      </c>
      <c r="L33" s="38" t="s">
        <v>115</v>
      </c>
      <c r="M33" s="36" t="s">
        <v>116</v>
      </c>
      <c r="N33" s="36" t="s">
        <v>117</v>
      </c>
      <c r="O33" s="39"/>
    </row>
    <row r="34" spans="1:15" s="47" customFormat="1" ht="33" thickBot="1" x14ac:dyDescent="0.25">
      <c r="A34" s="41"/>
      <c r="B34" s="41"/>
      <c r="D34" s="48"/>
      <c r="G34" s="49"/>
      <c r="H34" s="48" t="s">
        <v>118</v>
      </c>
      <c r="I34" s="47" t="s">
        <v>119</v>
      </c>
      <c r="K34" s="46" t="s">
        <v>283</v>
      </c>
      <c r="L34" s="48" t="s">
        <v>118</v>
      </c>
      <c r="M34" s="47" t="s">
        <v>120</v>
      </c>
      <c r="N34" s="47" t="s">
        <v>121</v>
      </c>
      <c r="O34" s="49"/>
    </row>
    <row r="35" spans="1:15" s="21" customFormat="1" ht="16" x14ac:dyDescent="0.2">
      <c r="D35" s="20"/>
      <c r="G35" s="19"/>
      <c r="H35" s="20"/>
      <c r="L35" s="20" t="s">
        <v>122</v>
      </c>
      <c r="M35" s="21" t="s">
        <v>123</v>
      </c>
      <c r="N35" s="21" t="s">
        <v>124</v>
      </c>
      <c r="O35" s="19"/>
    </row>
    <row r="36" spans="1:15" s="36" customFormat="1" ht="32" x14ac:dyDescent="0.2">
      <c r="D36" s="38"/>
      <c r="G36" s="39"/>
      <c r="H36" s="38"/>
      <c r="L36" s="38" t="s">
        <v>125</v>
      </c>
      <c r="M36" s="36" t="s">
        <v>126</v>
      </c>
      <c r="N36" s="36" t="s">
        <v>127</v>
      </c>
      <c r="O36" s="39"/>
    </row>
    <row r="37" spans="1:15" s="21" customFormat="1" ht="32" x14ac:dyDescent="0.2">
      <c r="D37" s="20"/>
      <c r="G37" s="19"/>
      <c r="H37" s="20"/>
      <c r="L37" s="20" t="s">
        <v>128</v>
      </c>
      <c r="M37" s="21" t="s">
        <v>129</v>
      </c>
      <c r="N37" s="21" t="s">
        <v>296</v>
      </c>
      <c r="O37" s="19"/>
    </row>
    <row r="38" spans="1:15" s="36" customFormat="1" ht="32" x14ac:dyDescent="0.2">
      <c r="D38" s="38"/>
      <c r="G38" s="39"/>
      <c r="H38" s="38"/>
      <c r="L38" s="38" t="s">
        <v>130</v>
      </c>
      <c r="M38" s="36" t="s">
        <v>131</v>
      </c>
      <c r="N38" s="36" t="s">
        <v>297</v>
      </c>
      <c r="O38" s="39"/>
    </row>
    <row r="39" spans="1:15" s="21" customFormat="1" ht="48" x14ac:dyDescent="0.2">
      <c r="D39" s="20"/>
      <c r="G39" s="19"/>
      <c r="H39" s="20"/>
      <c r="L39" s="20" t="s">
        <v>132</v>
      </c>
      <c r="M39" s="21" t="s">
        <v>133</v>
      </c>
      <c r="N39" s="21" t="s">
        <v>298</v>
      </c>
      <c r="O39" s="19"/>
    </row>
    <row r="40" spans="1:15" s="36" customFormat="1" ht="32" x14ac:dyDescent="0.2">
      <c r="D40" s="38"/>
      <c r="G40" s="39"/>
      <c r="H40" s="38"/>
      <c r="L40" s="38" t="s">
        <v>134</v>
      </c>
      <c r="M40" s="36" t="s">
        <v>135</v>
      </c>
      <c r="N40" s="36" t="s">
        <v>299</v>
      </c>
      <c r="O40" s="39"/>
    </row>
    <row r="41" spans="1:15" s="21" customFormat="1" ht="96" x14ac:dyDescent="0.2">
      <c r="D41" s="20"/>
      <c r="G41" s="19"/>
      <c r="H41" s="20"/>
      <c r="L41" s="20" t="s">
        <v>136</v>
      </c>
      <c r="M41" s="21" t="s">
        <v>137</v>
      </c>
      <c r="N41" s="21" t="s">
        <v>300</v>
      </c>
      <c r="O41" s="19"/>
    </row>
    <row r="42" spans="1:15" s="36" customFormat="1" ht="48" x14ac:dyDescent="0.2">
      <c r="D42" s="38"/>
      <c r="G42" s="39"/>
      <c r="H42" s="38"/>
      <c r="L42" s="38" t="s">
        <v>138</v>
      </c>
      <c r="M42" s="36" t="s">
        <v>139</v>
      </c>
      <c r="N42" s="36" t="s">
        <v>140</v>
      </c>
      <c r="O42" s="39"/>
    </row>
    <row r="43" spans="1:15" s="21" customFormat="1" ht="160" x14ac:dyDescent="0.2">
      <c r="D43" s="20"/>
      <c r="G43" s="19"/>
      <c r="H43" s="20"/>
      <c r="L43" s="20" t="s">
        <v>141</v>
      </c>
      <c r="M43" s="21" t="s">
        <v>142</v>
      </c>
      <c r="N43" s="21" t="s">
        <v>143</v>
      </c>
      <c r="O43" s="21" t="s">
        <v>318</v>
      </c>
    </row>
    <row r="44" spans="1:15" s="36" customFormat="1" ht="48" x14ac:dyDescent="0.2">
      <c r="D44" s="38"/>
      <c r="G44" s="39"/>
      <c r="H44" s="38"/>
      <c r="L44" s="38" t="s">
        <v>144</v>
      </c>
      <c r="M44" s="36" t="s">
        <v>145</v>
      </c>
      <c r="N44" s="36" t="s">
        <v>146</v>
      </c>
      <c r="O44" s="39"/>
    </row>
    <row r="45" spans="1:15" s="21" customFormat="1" ht="48" x14ac:dyDescent="0.2">
      <c r="D45" s="20"/>
      <c r="G45" s="19"/>
      <c r="H45" s="20"/>
      <c r="L45" s="21" t="s">
        <v>333</v>
      </c>
      <c r="M45" s="21">
        <v>32000</v>
      </c>
      <c r="N45" s="21" t="s">
        <v>148</v>
      </c>
      <c r="O45" s="21" t="s">
        <v>359</v>
      </c>
    </row>
    <row r="46" spans="1:15" s="36" customFormat="1" ht="43.25" customHeight="1" x14ac:dyDescent="0.2">
      <c r="D46" s="38"/>
      <c r="G46" s="39"/>
      <c r="H46" s="38"/>
      <c r="L46" s="38" t="s">
        <v>149</v>
      </c>
      <c r="M46" s="36" t="s">
        <v>150</v>
      </c>
      <c r="N46" s="36" t="s">
        <v>151</v>
      </c>
      <c r="O46" s="40" t="s">
        <v>301</v>
      </c>
    </row>
    <row r="47" spans="1:15" s="21" customFormat="1" ht="32" x14ac:dyDescent="0.2">
      <c r="D47" s="20"/>
      <c r="G47" s="19"/>
      <c r="H47" s="20" t="s">
        <v>152</v>
      </c>
      <c r="I47" s="21" t="s">
        <v>153</v>
      </c>
      <c r="K47" s="21" t="s">
        <v>283</v>
      </c>
      <c r="L47" s="20" t="s">
        <v>154</v>
      </c>
      <c r="M47" s="21" t="s">
        <v>58</v>
      </c>
      <c r="N47" s="31"/>
      <c r="O47" s="31"/>
    </row>
    <row r="48" spans="1:15" s="36" customFormat="1" ht="32" x14ac:dyDescent="0.2">
      <c r="D48" s="38"/>
      <c r="G48" s="39"/>
      <c r="H48" s="38" t="s">
        <v>154</v>
      </c>
      <c r="I48" s="36" t="s">
        <v>155</v>
      </c>
      <c r="K48" s="36" t="s">
        <v>283</v>
      </c>
      <c r="L48" s="38" t="s">
        <v>152</v>
      </c>
      <c r="M48" s="36" t="s">
        <v>156</v>
      </c>
      <c r="N48" s="50"/>
      <c r="O48" s="37"/>
    </row>
    <row r="49" spans="4:15" s="21" customFormat="1" ht="32" x14ac:dyDescent="0.2">
      <c r="D49" s="20"/>
      <c r="G49" s="19"/>
      <c r="H49" s="20"/>
      <c r="L49" s="20" t="s">
        <v>157</v>
      </c>
      <c r="M49" s="21" t="s">
        <v>158</v>
      </c>
      <c r="N49" s="21" t="s">
        <v>159</v>
      </c>
      <c r="O49" s="19"/>
    </row>
    <row r="50" spans="4:15" s="36" customFormat="1" ht="32" x14ac:dyDescent="0.2">
      <c r="D50" s="38"/>
      <c r="G50" s="39"/>
      <c r="H50" s="38"/>
      <c r="L50" s="38" t="s">
        <v>160</v>
      </c>
      <c r="M50" s="36" t="s">
        <v>161</v>
      </c>
      <c r="N50" s="36" t="s">
        <v>162</v>
      </c>
      <c r="O50" s="39"/>
    </row>
    <row r="51" spans="4:15" s="21" customFormat="1" ht="80" x14ac:dyDescent="0.2">
      <c r="D51" s="20"/>
      <c r="G51" s="19"/>
      <c r="H51" s="20"/>
      <c r="L51" s="21" t="s">
        <v>163</v>
      </c>
      <c r="M51" s="21" t="s">
        <v>164</v>
      </c>
      <c r="N51" s="21" t="s">
        <v>302</v>
      </c>
      <c r="O51" s="19"/>
    </row>
    <row r="52" spans="4:15" s="36" customFormat="1" ht="32" x14ac:dyDescent="0.2">
      <c r="D52" s="38"/>
      <c r="G52" s="39"/>
      <c r="H52" s="38"/>
      <c r="L52" s="38" t="s">
        <v>165</v>
      </c>
      <c r="M52" s="36" t="s">
        <v>166</v>
      </c>
      <c r="N52" s="36" t="s">
        <v>167</v>
      </c>
      <c r="O52" s="39"/>
    </row>
    <row r="53" spans="4:15" s="21" customFormat="1" ht="48" x14ac:dyDescent="0.2">
      <c r="D53" s="20"/>
      <c r="G53" s="19"/>
      <c r="H53" s="20"/>
      <c r="L53" s="20" t="s">
        <v>168</v>
      </c>
      <c r="M53" s="21" t="s">
        <v>169</v>
      </c>
      <c r="N53" s="21" t="s">
        <v>303</v>
      </c>
      <c r="O53" s="19"/>
    </row>
    <row r="54" spans="4:15" s="36" customFormat="1" ht="32" x14ac:dyDescent="0.2">
      <c r="D54" s="38"/>
      <c r="G54" s="39"/>
      <c r="H54" s="38"/>
      <c r="L54" s="38" t="s">
        <v>170</v>
      </c>
      <c r="M54" s="36" t="s">
        <v>171</v>
      </c>
      <c r="N54" s="36" t="s">
        <v>172</v>
      </c>
      <c r="O54" s="39" t="s">
        <v>304</v>
      </c>
    </row>
    <row r="55" spans="4:15" s="21" customFormat="1" ht="32" x14ac:dyDescent="0.2">
      <c r="D55" s="20"/>
      <c r="G55" s="19"/>
      <c r="H55" s="20"/>
      <c r="L55" s="20" t="s">
        <v>173</v>
      </c>
      <c r="M55" s="21" t="s">
        <v>174</v>
      </c>
      <c r="N55" s="21" t="s">
        <v>175</v>
      </c>
      <c r="O55" s="19"/>
    </row>
    <row r="56" spans="4:15" s="36" customFormat="1" ht="32" x14ac:dyDescent="0.2">
      <c r="D56" s="38"/>
      <c r="G56" s="39"/>
      <c r="H56" s="38"/>
      <c r="L56" s="38" t="s">
        <v>176</v>
      </c>
      <c r="M56" s="36" t="s">
        <v>177</v>
      </c>
      <c r="N56" s="36" t="s">
        <v>305</v>
      </c>
      <c r="O56" s="39"/>
    </row>
    <row r="57" spans="4:15" s="21" customFormat="1" ht="112" x14ac:dyDescent="0.2">
      <c r="D57" s="20"/>
      <c r="G57" s="19"/>
      <c r="H57" s="20"/>
      <c r="L57" s="21" t="s">
        <v>178</v>
      </c>
      <c r="M57" s="21">
        <v>15</v>
      </c>
      <c r="N57" s="21" t="s">
        <v>179</v>
      </c>
      <c r="O57" s="88" t="s">
        <v>360</v>
      </c>
    </row>
    <row r="58" spans="4:15" s="36" customFormat="1" ht="64" x14ac:dyDescent="0.2">
      <c r="D58" s="38"/>
      <c r="G58" s="39"/>
      <c r="H58" s="38"/>
      <c r="L58" s="38" t="s">
        <v>180</v>
      </c>
      <c r="M58" s="51" t="s">
        <v>181</v>
      </c>
      <c r="N58" s="36" t="s">
        <v>182</v>
      </c>
      <c r="O58" s="39" t="s">
        <v>306</v>
      </c>
    </row>
    <row r="59" spans="4:15" s="21" customFormat="1" ht="80" x14ac:dyDescent="0.2">
      <c r="D59" s="20"/>
      <c r="G59" s="19"/>
      <c r="H59" s="20"/>
      <c r="L59" s="21" t="s">
        <v>183</v>
      </c>
      <c r="M59" s="21">
        <v>1</v>
      </c>
      <c r="N59" s="21" t="s">
        <v>307</v>
      </c>
    </row>
    <row r="60" spans="4:15" s="36" customFormat="1" ht="16" x14ac:dyDescent="0.2">
      <c r="D60" s="38"/>
      <c r="G60" s="39"/>
      <c r="H60" s="38"/>
      <c r="L60" s="38" t="s">
        <v>184</v>
      </c>
      <c r="M60" s="51" t="s">
        <v>185</v>
      </c>
      <c r="N60" s="36" t="s">
        <v>186</v>
      </c>
      <c r="O60" s="39" t="s">
        <v>308</v>
      </c>
    </row>
    <row r="61" spans="4:15" s="21" customFormat="1" ht="48" x14ac:dyDescent="0.2">
      <c r="D61" s="20"/>
      <c r="G61" s="19"/>
      <c r="H61" s="20"/>
      <c r="L61" s="20" t="s">
        <v>187</v>
      </c>
      <c r="M61" s="21" t="s">
        <v>188</v>
      </c>
      <c r="N61" s="21" t="s">
        <v>189</v>
      </c>
      <c r="O61" s="19"/>
    </row>
    <row r="62" spans="4:15" s="36" customFormat="1" ht="32" x14ac:dyDescent="0.2">
      <c r="D62" s="38"/>
      <c r="G62" s="39"/>
      <c r="H62" s="38"/>
      <c r="L62" s="38" t="s">
        <v>190</v>
      </c>
      <c r="M62" s="36" t="s">
        <v>191</v>
      </c>
      <c r="N62" s="36" t="s">
        <v>192</v>
      </c>
      <c r="O62" s="39"/>
    </row>
    <row r="63" spans="4:15" s="21" customFormat="1" ht="48" x14ac:dyDescent="0.2">
      <c r="D63" s="20"/>
      <c r="G63" s="19"/>
      <c r="H63" s="20"/>
      <c r="L63" s="21" t="s">
        <v>193</v>
      </c>
      <c r="M63" s="32" t="s">
        <v>194</v>
      </c>
      <c r="N63" s="33" t="s">
        <v>195</v>
      </c>
      <c r="O63" s="34" t="s">
        <v>316</v>
      </c>
    </row>
    <row r="64" spans="4:15" s="36" customFormat="1" ht="32" x14ac:dyDescent="0.2">
      <c r="D64" s="38"/>
      <c r="G64" s="39"/>
      <c r="H64" s="38"/>
      <c r="L64" s="38" t="s">
        <v>196</v>
      </c>
      <c r="M64" s="36">
        <v>15</v>
      </c>
      <c r="N64" s="36" t="s">
        <v>197</v>
      </c>
      <c r="O64" s="39" t="s">
        <v>309</v>
      </c>
    </row>
    <row r="65" spans="4:15" s="21" customFormat="1" ht="96" x14ac:dyDescent="0.2">
      <c r="D65" s="20"/>
      <c r="G65" s="19"/>
      <c r="H65" s="20"/>
      <c r="L65" s="20" t="s">
        <v>198</v>
      </c>
      <c r="M65" s="21">
        <v>2000</v>
      </c>
      <c r="N65" s="21" t="s">
        <v>199</v>
      </c>
      <c r="O65" s="19" t="s">
        <v>310</v>
      </c>
    </row>
    <row r="66" spans="4:15" s="36" customFormat="1" ht="32" x14ac:dyDescent="0.2">
      <c r="D66" s="38"/>
      <c r="G66" s="39"/>
      <c r="H66" s="38"/>
      <c r="L66" s="38" t="s">
        <v>200</v>
      </c>
      <c r="M66" s="36" t="s">
        <v>201</v>
      </c>
      <c r="N66" s="36" t="s">
        <v>202</v>
      </c>
      <c r="O66" s="39"/>
    </row>
    <row r="67" spans="4:15" s="21" customFormat="1" ht="32" x14ac:dyDescent="0.2">
      <c r="D67" s="20"/>
      <c r="G67" s="19"/>
      <c r="H67" s="20"/>
      <c r="L67" s="20" t="s">
        <v>203</v>
      </c>
      <c r="M67" s="21" t="s">
        <v>204</v>
      </c>
      <c r="N67" s="21" t="s">
        <v>205</v>
      </c>
      <c r="O67" s="19"/>
    </row>
    <row r="68" spans="4:15" s="36" customFormat="1" ht="192" x14ac:dyDescent="0.2">
      <c r="D68" s="38"/>
      <c r="G68" s="39"/>
      <c r="H68" s="38"/>
      <c r="L68" s="38" t="s">
        <v>206</v>
      </c>
      <c r="M68" s="52" t="s">
        <v>207</v>
      </c>
      <c r="N68" s="36" t="s">
        <v>208</v>
      </c>
      <c r="O68" s="39" t="s">
        <v>311</v>
      </c>
    </row>
    <row r="69" spans="4:15" s="21" customFormat="1" ht="192" x14ac:dyDescent="0.2">
      <c r="D69" s="20"/>
      <c r="G69" s="19"/>
      <c r="H69" s="20"/>
      <c r="L69" s="20" t="s">
        <v>209</v>
      </c>
      <c r="M69" s="21">
        <v>30</v>
      </c>
      <c r="N69" s="21" t="s">
        <v>210</v>
      </c>
      <c r="O69" s="19" t="s">
        <v>312</v>
      </c>
    </row>
    <row r="70" spans="4:15" s="36" customFormat="1" ht="32" x14ac:dyDescent="0.2">
      <c r="D70" s="38"/>
      <c r="G70" s="39"/>
      <c r="H70" s="38"/>
      <c r="L70" s="38" t="s">
        <v>211</v>
      </c>
      <c r="M70" s="36" t="s">
        <v>212</v>
      </c>
      <c r="N70" s="36" t="s">
        <v>213</v>
      </c>
      <c r="O70" s="39"/>
    </row>
    <row r="71" spans="4:15" s="21" customFormat="1" ht="16" x14ac:dyDescent="0.2">
      <c r="D71" s="20"/>
      <c r="G71" s="19"/>
      <c r="H71" s="20"/>
      <c r="L71" s="20" t="s">
        <v>214</v>
      </c>
      <c r="M71" s="21" t="s">
        <v>215</v>
      </c>
      <c r="N71" s="21" t="s">
        <v>216</v>
      </c>
      <c r="O71" s="19"/>
    </row>
    <row r="72" spans="4:15" s="36" customFormat="1" ht="32" x14ac:dyDescent="0.2">
      <c r="D72" s="38"/>
      <c r="G72" s="39"/>
      <c r="H72" s="38"/>
      <c r="L72" s="38" t="s">
        <v>217</v>
      </c>
      <c r="M72" s="36" t="s">
        <v>218</v>
      </c>
      <c r="N72" s="36" t="s">
        <v>219</v>
      </c>
      <c r="O72" s="39"/>
    </row>
    <row r="73" spans="4:15" s="21" customFormat="1" ht="32" x14ac:dyDescent="0.2">
      <c r="D73" s="20"/>
      <c r="G73" s="19"/>
      <c r="H73" s="20"/>
      <c r="L73" s="20" t="s">
        <v>220</v>
      </c>
      <c r="M73" s="21">
        <v>5</v>
      </c>
      <c r="N73" s="21" t="s">
        <v>314</v>
      </c>
      <c r="O73" s="19" t="s">
        <v>313</v>
      </c>
    </row>
    <row r="74" spans="4:15" s="36" customFormat="1" ht="32" x14ac:dyDescent="0.2">
      <c r="D74" s="38"/>
      <c r="G74" s="39"/>
      <c r="H74" s="38"/>
      <c r="L74" s="38" t="s">
        <v>221</v>
      </c>
      <c r="M74" s="36" t="s">
        <v>222</v>
      </c>
      <c r="N74" s="36" t="s">
        <v>223</v>
      </c>
      <c r="O74" s="39" t="s">
        <v>313</v>
      </c>
    </row>
    <row r="75" spans="4:15" s="21" customFormat="1" ht="32" x14ac:dyDescent="0.2">
      <c r="D75" s="20"/>
      <c r="G75" s="19"/>
      <c r="H75" s="20"/>
      <c r="L75" s="20" t="s">
        <v>224</v>
      </c>
      <c r="M75" s="21" t="s">
        <v>225</v>
      </c>
      <c r="N75" s="21" t="s">
        <v>226</v>
      </c>
      <c r="O75" s="19"/>
    </row>
    <row r="76" spans="4:15" s="36" customFormat="1" ht="32" x14ac:dyDescent="0.2">
      <c r="D76" s="38"/>
      <c r="G76" s="39"/>
      <c r="H76" s="38"/>
      <c r="L76" s="38" t="s">
        <v>227</v>
      </c>
      <c r="M76" s="36" t="s">
        <v>228</v>
      </c>
      <c r="N76" s="36" t="s">
        <v>229</v>
      </c>
      <c r="O76" s="39"/>
    </row>
    <row r="77" spans="4:15" s="21" customFormat="1" ht="32" x14ac:dyDescent="0.2">
      <c r="D77" s="20"/>
      <c r="G77" s="19"/>
      <c r="H77" s="20"/>
      <c r="L77" s="20" t="s">
        <v>230</v>
      </c>
      <c r="M77" s="21" t="s">
        <v>231</v>
      </c>
      <c r="N77" s="21" t="s">
        <v>232</v>
      </c>
      <c r="O77" s="19" t="s">
        <v>381</v>
      </c>
    </row>
    <row r="78" spans="4:15" s="36" customFormat="1" ht="32" x14ac:dyDescent="0.2">
      <c r="D78" s="38"/>
      <c r="G78" s="39"/>
      <c r="H78" s="38"/>
      <c r="L78" s="38" t="s">
        <v>233</v>
      </c>
      <c r="M78" s="36" t="s">
        <v>234</v>
      </c>
      <c r="N78" s="36" t="s">
        <v>235</v>
      </c>
      <c r="O78" s="39"/>
    </row>
    <row r="79" spans="4:15" s="21" customFormat="1" ht="32" x14ac:dyDescent="0.2">
      <c r="D79" s="20"/>
      <c r="G79" s="19"/>
      <c r="H79" s="20"/>
      <c r="L79" s="20" t="s">
        <v>236</v>
      </c>
      <c r="M79" s="35" t="s">
        <v>237</v>
      </c>
      <c r="N79" s="21" t="s">
        <v>238</v>
      </c>
      <c r="O79" s="19" t="s">
        <v>315</v>
      </c>
    </row>
    <row r="80" spans="4:15" s="36" customFormat="1" ht="48" x14ac:dyDescent="0.2">
      <c r="D80" s="38"/>
      <c r="G80" s="39"/>
      <c r="H80" s="38"/>
      <c r="L80" s="38" t="s">
        <v>239</v>
      </c>
      <c r="M80" s="36" t="s">
        <v>240</v>
      </c>
      <c r="N80" s="36" t="s">
        <v>241</v>
      </c>
      <c r="O80" s="39" t="s">
        <v>317</v>
      </c>
    </row>
    <row r="81" spans="2:15" s="21" customFormat="1" ht="32" x14ac:dyDescent="0.2">
      <c r="D81" s="20"/>
      <c r="G81" s="19"/>
      <c r="H81" s="20"/>
      <c r="L81" s="20" t="s">
        <v>242</v>
      </c>
      <c r="M81" s="21" t="s">
        <v>135</v>
      </c>
      <c r="N81" s="21" t="s">
        <v>243</v>
      </c>
      <c r="O81" s="19"/>
    </row>
    <row r="82" spans="2:15" s="36" customFormat="1" x14ac:dyDescent="0.2">
      <c r="D82" s="38"/>
      <c r="G82" s="39"/>
      <c r="H82" s="38"/>
      <c r="L82" s="38"/>
      <c r="O82" s="39"/>
    </row>
    <row r="83" spans="2:15" s="21" customFormat="1" x14ac:dyDescent="0.2">
      <c r="D83" s="20"/>
      <c r="G83" s="19"/>
      <c r="H83" s="20"/>
      <c r="L83" s="20"/>
      <c r="O83" s="19"/>
    </row>
    <row r="84" spans="2:15" s="36" customFormat="1" x14ac:dyDescent="0.2">
      <c r="D84" s="38"/>
      <c r="G84" s="39"/>
      <c r="H84" s="38"/>
      <c r="L84" s="38"/>
      <c r="O84" s="39"/>
    </row>
    <row r="85" spans="2:15" s="21" customFormat="1" x14ac:dyDescent="0.2">
      <c r="D85" s="20"/>
      <c r="G85" s="19"/>
      <c r="H85" s="20"/>
      <c r="L85" s="20"/>
      <c r="O85" s="19"/>
    </row>
    <row r="86" spans="2:15" s="36" customFormat="1" x14ac:dyDescent="0.2">
      <c r="D86" s="38"/>
      <c r="G86" s="39"/>
      <c r="H86" s="38"/>
      <c r="L86" s="38"/>
      <c r="O86" s="39"/>
    </row>
    <row r="87" spans="2:15" s="5" customFormat="1" x14ac:dyDescent="0.2">
      <c r="D87" s="4"/>
      <c r="G87" s="6"/>
      <c r="H87" s="4"/>
      <c r="L87" s="4"/>
      <c r="O87" s="6"/>
    </row>
    <row r="88" spans="2:15" s="5" customFormat="1" x14ac:dyDescent="0.2">
      <c r="D88" s="4"/>
      <c r="G88" s="6"/>
      <c r="H88" s="4"/>
      <c r="L88" s="4"/>
      <c r="O88" s="6"/>
    </row>
    <row r="89" spans="2:15" s="5" customFormat="1" x14ac:dyDescent="0.2">
      <c r="D89" s="4"/>
      <c r="G89" s="6"/>
      <c r="H89" s="4"/>
    </row>
    <row r="90" spans="2:15" s="5" customFormat="1" x14ac:dyDescent="0.2">
      <c r="D90" s="4"/>
      <c r="G90" s="6"/>
      <c r="H90" s="4"/>
    </row>
    <row r="91" spans="2:15" s="5" customFormat="1" x14ac:dyDescent="0.2">
      <c r="B91" s="12"/>
      <c r="D91" s="4"/>
      <c r="G91" s="6"/>
      <c r="H91" s="4"/>
    </row>
    <row r="92" spans="2:15" s="5" customFormat="1" x14ac:dyDescent="0.2">
      <c r="B92" s="12"/>
      <c r="D92" s="4"/>
      <c r="G92" s="6"/>
      <c r="H92" s="4"/>
    </row>
    <row r="93" spans="2:15" s="5" customFormat="1" x14ac:dyDescent="0.2">
      <c r="D93" s="4"/>
      <c r="G93" s="6"/>
      <c r="H93" s="4"/>
    </row>
    <row r="94" spans="2:15" s="5" customFormat="1" x14ac:dyDescent="0.2">
      <c r="D94" s="4"/>
      <c r="G94" s="6"/>
      <c r="H94" s="4"/>
    </row>
    <row r="95" spans="2:15" s="5" customFormat="1" x14ac:dyDescent="0.2">
      <c r="D95" s="4"/>
      <c r="G95" s="6"/>
      <c r="H95" s="4"/>
    </row>
    <row r="96" spans="2:15" s="5" customFormat="1" x14ac:dyDescent="0.2">
      <c r="D96" s="4"/>
      <c r="G96" s="6"/>
      <c r="H96" s="4"/>
    </row>
    <row r="97" spans="4:15" s="5" customFormat="1" x14ac:dyDescent="0.2">
      <c r="D97" s="4"/>
      <c r="G97" s="6"/>
      <c r="H97" s="4"/>
    </row>
    <row r="98" spans="4:15" s="5" customFormat="1" x14ac:dyDescent="0.2">
      <c r="D98" s="4"/>
      <c r="G98" s="6"/>
      <c r="H98" s="4"/>
    </row>
    <row r="99" spans="4:15" s="5" customFormat="1" x14ac:dyDescent="0.2">
      <c r="D99" s="4"/>
      <c r="G99" s="6"/>
      <c r="H99" s="4"/>
    </row>
    <row r="100" spans="4:15" s="5" customFormat="1" x14ac:dyDescent="0.2">
      <c r="D100" s="4"/>
      <c r="G100" s="6"/>
      <c r="H100" s="4"/>
      <c r="L100" s="4"/>
      <c r="M100" s="7"/>
      <c r="O100" s="6"/>
    </row>
    <row r="101" spans="4:15" s="5" customFormat="1" x14ac:dyDescent="0.2">
      <c r="D101" s="4"/>
      <c r="G101" s="6"/>
      <c r="H101" s="4"/>
    </row>
    <row r="102" spans="4:15" s="5" customFormat="1" x14ac:dyDescent="0.2">
      <c r="D102" s="4"/>
      <c r="G102" s="6"/>
      <c r="H102" s="4"/>
    </row>
    <row r="103" spans="4:15" s="5" customFormat="1" x14ac:dyDescent="0.2">
      <c r="D103" s="4"/>
      <c r="G103" s="6"/>
      <c r="H103" s="4"/>
    </row>
    <row r="104" spans="4:15" s="5" customFormat="1" x14ac:dyDescent="0.2">
      <c r="D104" s="4"/>
      <c r="G104" s="6"/>
      <c r="H104" s="4"/>
    </row>
    <row r="105" spans="4:15" s="5" customFormat="1" x14ac:dyDescent="0.2">
      <c r="D105" s="4"/>
      <c r="G105" s="6"/>
      <c r="H105" s="4"/>
    </row>
    <row r="106" spans="4:15" s="5" customFormat="1" x14ac:dyDescent="0.2">
      <c r="D106" s="4"/>
      <c r="G106" s="6"/>
      <c r="H106" s="4"/>
    </row>
    <row r="107" spans="4:15" x14ac:dyDescent="0.2">
      <c r="J107" s="5"/>
      <c r="K107" s="5"/>
    </row>
    <row r="108" spans="4:15" x14ac:dyDescent="0.2">
      <c r="J108" s="5"/>
      <c r="K108" s="5"/>
    </row>
  </sheetData>
  <sortState xmlns:xlrd2="http://schemas.microsoft.com/office/spreadsheetml/2017/richdata2" ref="L36:O88">
    <sortCondition ref="L35:L88"/>
  </sortState>
  <mergeCells count="55">
    <mergeCell ref="C25:C26"/>
    <mergeCell ref="C5:C6"/>
    <mergeCell ref="A31:A32"/>
    <mergeCell ref="B31:B32"/>
    <mergeCell ref="A33:A34"/>
    <mergeCell ref="B33:B34"/>
    <mergeCell ref="A23:A24"/>
    <mergeCell ref="B23:B24"/>
    <mergeCell ref="A27:A28"/>
    <mergeCell ref="B27:B28"/>
    <mergeCell ref="A29:A30"/>
    <mergeCell ref="B29:B30"/>
    <mergeCell ref="A25:A26"/>
    <mergeCell ref="B25:B26"/>
    <mergeCell ref="A17:A18"/>
    <mergeCell ref="B17:B18"/>
    <mergeCell ref="B19:B20"/>
    <mergeCell ref="A19:A20"/>
    <mergeCell ref="A21:A22"/>
    <mergeCell ref="B21:B22"/>
    <mergeCell ref="A8:A9"/>
    <mergeCell ref="B8:B9"/>
    <mergeCell ref="A11:A12"/>
    <mergeCell ref="B11:B12"/>
    <mergeCell ref="A15:A16"/>
    <mergeCell ref="B15:B16"/>
    <mergeCell ref="A13:A14"/>
    <mergeCell ref="B13:B14"/>
    <mergeCell ref="A2:C2"/>
    <mergeCell ref="D2:G2"/>
    <mergeCell ref="H2:J2"/>
    <mergeCell ref="L2:O2"/>
    <mergeCell ref="E5:E6"/>
    <mergeCell ref="A5:A6"/>
    <mergeCell ref="B5:B6"/>
    <mergeCell ref="D5:D6"/>
    <mergeCell ref="O15:O16"/>
    <mergeCell ref="J15:J16"/>
    <mergeCell ref="L6:O6"/>
    <mergeCell ref="L5:O5"/>
    <mergeCell ref="H15:H16"/>
    <mergeCell ref="I15:I16"/>
    <mergeCell ref="L15:L16"/>
    <mergeCell ref="M15:M16"/>
    <mergeCell ref="N15:N16"/>
    <mergeCell ref="L17:O17"/>
    <mergeCell ref="L18:O18"/>
    <mergeCell ref="L19:O19"/>
    <mergeCell ref="L20:O20"/>
    <mergeCell ref="L21:O21"/>
    <mergeCell ref="L22:O22"/>
    <mergeCell ref="L23:O23"/>
    <mergeCell ref="L24:O24"/>
    <mergeCell ref="L31:O31"/>
    <mergeCell ref="L32:O32"/>
  </mergeCells>
  <phoneticPr fontId="9" type="noConversion"/>
  <hyperlinks>
    <hyperlink ref="J13" r:id="rId1" display="https://www.umweltbundesamt.de/sites/default/files/medien/361/dokumente/2023_01_26_em_entwicklung_in_d_trendtabelle_hm_v1.0.xlsx" xr:uid="{641ED462-C494-7445-B095-CF6EA5C64AE5}"/>
    <hyperlink ref="J14" r:id="rId2" display="https://www.umweltbundesamt.de/sites/default/files/medien/361/dokumente/2023_01_26_em_entwicklung_in_d_trendtabelle_hm_v1.0.xlsx" xr:uid="{8309FD18-5F6E-C24A-8BC1-5681A1A37B81}"/>
    <hyperlink ref="O46" r:id="rId3" xr:uid="{35051241-5DB0-480C-B1F5-E18D7A95AF38}"/>
    <hyperlink ref="O57" r:id="rId4" xr:uid="{3F8727D4-E555-4A97-BD2D-03AA923F537B}"/>
  </hyperlinks>
  <pageMargins left="0.7" right="0.7" top="0.78740157499999996" bottom="0.78740157499999996" header="0.3" footer="0.3"/>
  <pageSetup paperSize="9" orientation="portrait" horizontalDpi="0" verticalDpi="0"/>
  <ignoredErrors>
    <ignoredError sqref="B31" numberStoredAsText="1"/>
  </ignoredError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D13577-BC3E-4B49-B02D-160B84FE5D1F}">
  <dimension ref="A1:H15"/>
  <sheetViews>
    <sheetView workbookViewId="0">
      <selection activeCell="F7" sqref="F7"/>
    </sheetView>
  </sheetViews>
  <sheetFormatPr baseColWidth="10" defaultRowHeight="15" x14ac:dyDescent="0.2"/>
  <cols>
    <col min="1" max="1" width="26.33203125" customWidth="1"/>
    <col min="2" max="2" width="17.6640625" customWidth="1"/>
    <col min="3" max="3" width="25.1640625" customWidth="1"/>
    <col min="4" max="4" width="36" customWidth="1"/>
    <col min="5" max="5" width="36.5" bestFit="1" customWidth="1"/>
    <col min="6" max="6" width="25.5" bestFit="1" customWidth="1"/>
    <col min="7" max="7" width="29.6640625" bestFit="1" customWidth="1"/>
  </cols>
  <sheetData>
    <row r="1" spans="1:8" x14ac:dyDescent="0.2">
      <c r="A1" t="s">
        <v>230</v>
      </c>
    </row>
    <row r="5" spans="1:8" s="94" customFormat="1" ht="32" x14ac:dyDescent="0.2">
      <c r="A5" s="95"/>
      <c r="B5" s="95" t="s">
        <v>385</v>
      </c>
      <c r="C5" s="95" t="s">
        <v>386</v>
      </c>
      <c r="D5" s="95" t="s">
        <v>387</v>
      </c>
      <c r="E5" s="95" t="s">
        <v>388</v>
      </c>
      <c r="F5" s="95" t="s">
        <v>389</v>
      </c>
      <c r="G5" s="95" t="s">
        <v>390</v>
      </c>
    </row>
    <row r="6" spans="1:8" s="94" customFormat="1" ht="32" x14ac:dyDescent="0.2">
      <c r="A6" s="95" t="s">
        <v>383</v>
      </c>
      <c r="B6" s="95" t="s">
        <v>382</v>
      </c>
      <c r="C6" s="95" t="s">
        <v>382</v>
      </c>
      <c r="D6" s="95" t="s">
        <v>382</v>
      </c>
      <c r="E6" s="95" t="s">
        <v>484</v>
      </c>
      <c r="F6" s="95" t="s">
        <v>382</v>
      </c>
      <c r="G6" s="95" t="s">
        <v>384</v>
      </c>
    </row>
    <row r="7" spans="1:8" ht="144" x14ac:dyDescent="0.2">
      <c r="A7" s="96" t="s">
        <v>4</v>
      </c>
      <c r="B7" s="14" t="s">
        <v>391</v>
      </c>
      <c r="C7" s="97" t="s">
        <v>468</v>
      </c>
      <c r="D7" s="107" t="s">
        <v>469</v>
      </c>
      <c r="E7" s="14" t="s">
        <v>468</v>
      </c>
      <c r="F7" s="12" t="s">
        <v>410</v>
      </c>
      <c r="G7" s="104" t="s">
        <v>437</v>
      </c>
    </row>
    <row r="11" spans="1:8" x14ac:dyDescent="0.2">
      <c r="A11" s="98" t="s">
        <v>396</v>
      </c>
      <c r="B11" s="98"/>
      <c r="C11" s="98"/>
      <c r="D11" s="98"/>
      <c r="E11" s="98"/>
      <c r="F11" s="98"/>
      <c r="G11" s="98"/>
      <c r="H11" s="98"/>
    </row>
    <row r="12" spans="1:8" x14ac:dyDescent="0.2">
      <c r="A12" s="98"/>
      <c r="B12" s="98"/>
      <c r="C12" s="98"/>
      <c r="D12" s="98"/>
      <c r="E12" s="98"/>
      <c r="F12" s="98"/>
      <c r="G12" s="98"/>
      <c r="H12" s="98"/>
    </row>
    <row r="13" spans="1:8" x14ac:dyDescent="0.2">
      <c r="A13" s="98"/>
      <c r="B13" s="98"/>
      <c r="C13" s="98"/>
      <c r="D13" s="98"/>
      <c r="E13" s="98"/>
      <c r="F13" s="98"/>
      <c r="G13" s="98"/>
      <c r="H13" s="98"/>
    </row>
    <row r="14" spans="1:8" x14ac:dyDescent="0.2">
      <c r="A14" s="98"/>
      <c r="B14" s="98"/>
      <c r="C14" s="98"/>
      <c r="D14" s="98"/>
      <c r="E14" s="98"/>
      <c r="F14" s="98"/>
      <c r="G14" s="98"/>
      <c r="H14" s="98"/>
    </row>
    <row r="15" spans="1:8" x14ac:dyDescent="0.2">
      <c r="A15" s="98"/>
      <c r="B15" s="98"/>
      <c r="C15" s="98"/>
      <c r="D15" s="98"/>
      <c r="E15" s="98"/>
      <c r="F15" s="98"/>
      <c r="G15" s="98"/>
      <c r="H15" s="98"/>
    </row>
  </sheetData>
  <mergeCells count="1">
    <mergeCell ref="A11:H15"/>
  </mergeCells>
  <hyperlinks>
    <hyperlink ref="B7" r:id="rId1" xr:uid="{89A25D33-8315-4E18-8DE1-94CAB543BBD3}"/>
    <hyperlink ref="G7" r:id="rId2" display="Sekundärstoffe aus dem Hochbau" xr:uid="{09796EA3-8CD8-48E9-924C-221E688CB9C3}"/>
    <hyperlink ref="F7" r:id="rId3" display="https://iea.blob.core.windows.net/assets/3af7fda6-8fd9-46b7-bede-395f7f8f9943/RecyclingofCriticalMinerals.pdf" xr:uid="{36C9AE56-FBA0-4524-93BB-704757D8FA55}"/>
    <hyperlink ref="D7" r:id="rId4" xr:uid="{5761344F-E8CB-462A-A458-AB971ABE54D8}"/>
    <hyperlink ref="E7" r:id="rId5" display="https://www.google.com/url?sa=t&amp;source=web&amp;rct=j&amp;opi=89978449&amp;url=https://www.umsicht.fraunhofer.de/content/dam/umsicht/de/dokumente/publikationen/2022/2022-04_Kunststoffbasierte-Mehrwegsysteme-in-der-Circular-Economy_Fraunhofer-UMSICHT.pdf&amp;ved=2ahUKEwj67PmpiO2PAxUxUaQEHbgOHccQFnoECBcQAQ&amp;usg=AOvVaw0AX9w3L3TTjTLx-OHTJdEE" xr:uid="{826D86AF-D6EC-C349-A864-AFA12112B5D2}"/>
    <hyperlink ref="C7" r:id="rId6" display="https://www.google.com/url?sa=t&amp;source=web&amp;rct=j&amp;opi=89978449&amp;url=https://www.umsicht.fraunhofer.de/content/dam/umsicht/de/dokumente/publikationen/2022/2022-04_Kunststoffbasierte-Mehrwegsysteme-in-der-Circular-Economy_Fraunhofer-UMSICHT.pdf&amp;ved=2ahUKEwj67PmpiO2PAxUxUaQEHbgOHccQFnoECBcQAQ&amp;usg=AOvVaw0AX9w3L3TTjTLx-OHTJdEE" xr:uid="{1309D9E2-9048-8E4F-9B92-8D6EB7E35D06}"/>
  </hyperlinks>
  <pageMargins left="0.7" right="0.7" top="0.78740157499999996" bottom="0.78740157499999996"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3C0272-4762-4CFD-9C54-937E28EA22B1}">
  <dimension ref="A1:E13"/>
  <sheetViews>
    <sheetView tabSelected="1" workbookViewId="0">
      <selection activeCell="B26" sqref="B26"/>
    </sheetView>
  </sheetViews>
  <sheetFormatPr baseColWidth="10" defaultRowHeight="15" x14ac:dyDescent="0.2"/>
  <cols>
    <col min="2" max="2" width="40.1640625" bestFit="1" customWidth="1"/>
    <col min="3" max="3" width="12.6640625" bestFit="1" customWidth="1"/>
  </cols>
  <sheetData>
    <row r="1" spans="1:5" x14ac:dyDescent="0.2">
      <c r="A1" t="s">
        <v>147</v>
      </c>
    </row>
    <row r="6" spans="1:5" x14ac:dyDescent="0.2">
      <c r="E6" t="s">
        <v>358</v>
      </c>
    </row>
    <row r="7" spans="1:5" x14ac:dyDescent="0.2">
      <c r="B7" t="s">
        <v>351</v>
      </c>
      <c r="C7" s="87">
        <v>6400000000</v>
      </c>
      <c r="D7" t="s">
        <v>355</v>
      </c>
      <c r="E7" s="12" t="s">
        <v>357</v>
      </c>
    </row>
    <row r="9" spans="1:5" x14ac:dyDescent="0.2">
      <c r="B9" t="s">
        <v>353</v>
      </c>
      <c r="C9">
        <v>50</v>
      </c>
      <c r="D9" t="s">
        <v>354</v>
      </c>
      <c r="E9" s="12" t="s">
        <v>352</v>
      </c>
    </row>
    <row r="11" spans="1:5" x14ac:dyDescent="0.2">
      <c r="B11" t="s">
        <v>356</v>
      </c>
      <c r="C11">
        <f>(C7*C9)*10^(-9)</f>
        <v>320</v>
      </c>
      <c r="D11" t="s">
        <v>350</v>
      </c>
    </row>
    <row r="13" spans="1:5" x14ac:dyDescent="0.2">
      <c r="B13" t="s">
        <v>362</v>
      </c>
    </row>
  </sheetData>
  <hyperlinks>
    <hyperlink ref="E7" r:id="rId1" location=":~:text=Overall%2C%20the%20amount%20of%20MSW%20has%20increased%20from%20about%200.64,around%2020%25%20in%20developing%20countries." display="https://pmc.ncbi.nlm.nih.gov/articles/PMC10416556/ - :~:text=Overall%2C%20the%20amount%20of%20MSW%20has%20increased%20from%20about%200.64,around%2020%25%20in%20developing%20countries." xr:uid="{90ABE855-6CB2-4FA2-B752-6A0DC17CCD4A}"/>
    <hyperlink ref="E9" r:id="rId2" xr:uid="{B5DAC228-C156-A848-831D-8DF08D1F736D}"/>
  </hyperlinks>
  <pageMargins left="0.7" right="0.7" top="0.78740157499999996" bottom="0.78740157499999996"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11836B-1570-3546-85B9-55BE0253A46A}">
  <dimension ref="A1:D18"/>
  <sheetViews>
    <sheetView workbookViewId="0">
      <selection activeCell="C28" sqref="C28"/>
    </sheetView>
  </sheetViews>
  <sheetFormatPr baseColWidth="10" defaultRowHeight="15" x14ac:dyDescent="0.2"/>
  <cols>
    <col min="1" max="1" width="81.5" customWidth="1"/>
    <col min="2" max="2" width="27.5" customWidth="1"/>
    <col min="3" max="3" width="17.33203125" customWidth="1"/>
    <col min="4" max="4" width="14.6640625" customWidth="1"/>
  </cols>
  <sheetData>
    <row r="1" spans="1:4" x14ac:dyDescent="0.2">
      <c r="A1" t="s">
        <v>363</v>
      </c>
    </row>
    <row r="3" spans="1:4" x14ac:dyDescent="0.2">
      <c r="A3" t="s">
        <v>369</v>
      </c>
      <c r="C3" t="s">
        <v>365</v>
      </c>
      <c r="D3" t="s">
        <v>364</v>
      </c>
    </row>
    <row r="4" spans="1:4" x14ac:dyDescent="0.2">
      <c r="A4" t="s">
        <v>370</v>
      </c>
      <c r="B4" t="s">
        <v>366</v>
      </c>
      <c r="C4">
        <v>150</v>
      </c>
      <c r="D4">
        <v>0.47499999999999998</v>
      </c>
    </row>
    <row r="5" spans="1:4" x14ac:dyDescent="0.2">
      <c r="A5" t="s">
        <v>332</v>
      </c>
      <c r="B5" t="s">
        <v>367</v>
      </c>
      <c r="C5">
        <v>100</v>
      </c>
      <c r="D5">
        <v>0.47499999999999998</v>
      </c>
    </row>
    <row r="6" spans="1:4" x14ac:dyDescent="0.2">
      <c r="B6" t="s">
        <v>368</v>
      </c>
      <c r="C6">
        <v>30</v>
      </c>
      <c r="D6">
        <v>0.05</v>
      </c>
    </row>
    <row r="7" spans="1:4" x14ac:dyDescent="0.2">
      <c r="D7" t="s">
        <v>375</v>
      </c>
    </row>
    <row r="8" spans="1:4" x14ac:dyDescent="0.2">
      <c r="B8" t="s">
        <v>371</v>
      </c>
      <c r="C8">
        <f>C4*D4+C5*D5+C6*D6</f>
        <v>120.25</v>
      </c>
      <c r="D8" s="93">
        <f>C8*1000000</f>
        <v>120250000</v>
      </c>
    </row>
    <row r="10" spans="1:4" x14ac:dyDescent="0.2">
      <c r="A10" t="s">
        <v>379</v>
      </c>
      <c r="D10" t="s">
        <v>4</v>
      </c>
    </row>
    <row r="11" spans="1:4" x14ac:dyDescent="0.2">
      <c r="B11" t="s">
        <v>372</v>
      </c>
      <c r="C11" s="93">
        <f>3.7*10^9</f>
        <v>3700000000</v>
      </c>
      <c r="D11" t="s">
        <v>308</v>
      </c>
    </row>
    <row r="12" spans="1:4" x14ac:dyDescent="0.2">
      <c r="B12" t="s">
        <v>373</v>
      </c>
      <c r="C12" s="93">
        <v>594000000</v>
      </c>
      <c r="D12" t="s">
        <v>374</v>
      </c>
    </row>
    <row r="13" spans="1:4" x14ac:dyDescent="0.2">
      <c r="B13" t="s">
        <v>376</v>
      </c>
      <c r="C13" s="93">
        <f>C12/C11</f>
        <v>0.16054054054054054</v>
      </c>
      <c r="D13" t="s">
        <v>380</v>
      </c>
    </row>
    <row r="15" spans="1:4" x14ac:dyDescent="0.2">
      <c r="B15" t="s">
        <v>377</v>
      </c>
      <c r="C15" s="93">
        <f>D8/C13</f>
        <v>749031986.53198659</v>
      </c>
    </row>
    <row r="18" spans="1:1" x14ac:dyDescent="0.2">
      <c r="A18" t="s">
        <v>378</v>
      </c>
    </row>
  </sheetData>
  <pageMargins left="0.7" right="0.7" top="0.78740157499999996" bottom="0.78740157499999996"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F42666-2698-884E-96D4-8B8E1E5EBD86}">
  <dimension ref="A1:AD53"/>
  <sheetViews>
    <sheetView topLeftCell="A44" zoomScaleNormal="134" workbookViewId="0">
      <selection activeCell="V46" sqref="V46"/>
    </sheetView>
  </sheetViews>
  <sheetFormatPr baseColWidth="10" defaultRowHeight="15" x14ac:dyDescent="0.2"/>
  <sheetData>
    <row r="1" spans="1:28" x14ac:dyDescent="0.2">
      <c r="A1" t="s">
        <v>419</v>
      </c>
    </row>
    <row r="3" spans="1:28" ht="24" x14ac:dyDescent="0.2">
      <c r="B3" s="99" t="s">
        <v>399</v>
      </c>
      <c r="C3" s="99" t="s">
        <v>400</v>
      </c>
      <c r="D3" s="99" t="s">
        <v>366</v>
      </c>
      <c r="E3" s="99" t="s">
        <v>367</v>
      </c>
      <c r="F3" s="99" t="s">
        <v>401</v>
      </c>
      <c r="G3" s="99"/>
      <c r="H3" s="99" t="s">
        <v>402</v>
      </c>
      <c r="I3" s="99" t="s">
        <v>403</v>
      </c>
      <c r="J3" s="99" t="s">
        <v>404</v>
      </c>
      <c r="L3" s="99" t="s">
        <v>405</v>
      </c>
      <c r="M3" s="99" t="s">
        <v>406</v>
      </c>
      <c r="N3" s="99" t="s">
        <v>407</v>
      </c>
      <c r="O3" s="99"/>
      <c r="Q3" s="99" t="s">
        <v>392</v>
      </c>
      <c r="R3" s="99" t="s">
        <v>393</v>
      </c>
      <c r="S3" s="99" t="s">
        <v>394</v>
      </c>
      <c r="T3" s="99" t="s">
        <v>395</v>
      </c>
      <c r="U3" s="99"/>
      <c r="W3" s="99"/>
      <c r="X3" s="99"/>
      <c r="Y3" s="99"/>
      <c r="Z3" t="s">
        <v>420</v>
      </c>
      <c r="AB3" s="99"/>
    </row>
    <row r="4" spans="1:28" x14ac:dyDescent="0.2">
      <c r="B4" s="100">
        <v>2023</v>
      </c>
      <c r="C4" s="100">
        <v>1223</v>
      </c>
      <c r="D4" s="100">
        <v>1046</v>
      </c>
      <c r="E4" s="100">
        <v>1581</v>
      </c>
      <c r="F4">
        <f>C4+D4+E4</f>
        <v>3850</v>
      </c>
      <c r="G4" s="74"/>
      <c r="H4">
        <f>1223-C5</f>
        <v>7</v>
      </c>
      <c r="I4">
        <f t="shared" ref="I4:J37" si="0">D4-D5</f>
        <v>112.5</v>
      </c>
      <c r="J4">
        <f t="shared" si="0"/>
        <v>398</v>
      </c>
      <c r="L4" s="72">
        <f>H4/(H4+I4+J4)</f>
        <v>1.3526570048309179E-2</v>
      </c>
      <c r="M4" s="72">
        <f>I4/(H4+I4+J4)</f>
        <v>0.21739130434782608</v>
      </c>
      <c r="N4" s="72">
        <f>J4/(J4+I4+H4)</f>
        <v>0.76908212560386469</v>
      </c>
      <c r="O4" s="72"/>
      <c r="Q4" s="101">
        <v>5.7056985999999997E-2</v>
      </c>
      <c r="R4">
        <v>3.2578352999999997E-2</v>
      </c>
      <c r="S4" s="101">
        <v>4.4247407000000002E-2</v>
      </c>
      <c r="T4" s="72">
        <f>Q4*L4+R4*M4+N4*S4</f>
        <v>4.1883925798067628E-2</v>
      </c>
      <c r="U4" s="73"/>
      <c r="AB4" s="103"/>
    </row>
    <row r="5" spans="1:28" x14ac:dyDescent="0.2">
      <c r="B5" s="100">
        <v>2022</v>
      </c>
      <c r="C5" s="100">
        <v>1216</v>
      </c>
      <c r="D5" s="100">
        <v>933.5</v>
      </c>
      <c r="E5" s="100">
        <v>1183</v>
      </c>
      <c r="F5">
        <f>C5+D5+E5</f>
        <v>3332.5</v>
      </c>
      <c r="G5" s="74"/>
      <c r="H5">
        <f t="shared" ref="H5:H37" si="1">C5-C6</f>
        <v>21</v>
      </c>
      <c r="I5">
        <f t="shared" si="0"/>
        <v>110</v>
      </c>
      <c r="J5">
        <f t="shared" si="0"/>
        <v>237.29999999999995</v>
      </c>
      <c r="L5" s="72">
        <f t="shared" ref="L5:L37" si="2">H5/(H5+I5+J5)</f>
        <v>5.7018734727124633E-2</v>
      </c>
      <c r="M5" s="72">
        <f t="shared" ref="M5:M37" si="3">I5/(H5+I5+J5)</f>
        <v>0.29866956285636714</v>
      </c>
      <c r="N5" s="72">
        <f t="shared" ref="N5:N37" si="4">J5/(J5+I5+H5)</f>
        <v>0.64431170241650826</v>
      </c>
      <c r="O5" s="72"/>
      <c r="Q5" s="101">
        <v>6.1183165999999997E-2</v>
      </c>
      <c r="R5">
        <v>3.3651832E-2</v>
      </c>
      <c r="S5" s="101">
        <v>5.0495419999999999E-2</v>
      </c>
      <c r="T5" s="72">
        <f t="shared" ref="T5:T37" si="5">Q5*L5+R5*M5+N5*S5</f>
        <v>4.6074154689112135E-2</v>
      </c>
      <c r="U5" s="73"/>
      <c r="AB5" s="103"/>
    </row>
    <row r="6" spans="1:28" x14ac:dyDescent="0.2">
      <c r="B6" s="100">
        <v>2021</v>
      </c>
      <c r="C6" s="100">
        <v>1195</v>
      </c>
      <c r="D6" s="100">
        <v>823.5</v>
      </c>
      <c r="E6" s="100">
        <v>945.7</v>
      </c>
      <c r="F6">
        <f t="shared" ref="F6:F35" si="6">C6+D6+E6</f>
        <v>2964.2</v>
      </c>
      <c r="G6" s="74"/>
      <c r="H6">
        <f t="shared" si="1"/>
        <v>22</v>
      </c>
      <c r="I6">
        <f t="shared" si="0"/>
        <v>80.799999999999955</v>
      </c>
      <c r="J6">
        <f t="shared" si="0"/>
        <v>186.80000000000007</v>
      </c>
      <c r="L6" s="72">
        <f t="shared" si="2"/>
        <v>7.5966850828729282E-2</v>
      </c>
      <c r="M6" s="72">
        <f t="shared" si="3"/>
        <v>0.2790055248618783</v>
      </c>
      <c r="N6" s="72">
        <f t="shared" si="4"/>
        <v>0.64502762430939242</v>
      </c>
      <c r="O6" s="72"/>
      <c r="Q6" s="101">
        <v>5.3232109999999999E-2</v>
      </c>
      <c r="R6">
        <v>3.5502348000000003E-2</v>
      </c>
      <c r="S6" s="101">
        <v>5.2132524999999999E-2</v>
      </c>
      <c r="T6" s="72">
        <f t="shared" si="5"/>
        <v>4.7576145747237571E-2</v>
      </c>
      <c r="U6" s="73"/>
      <c r="AB6" s="103"/>
    </row>
    <row r="7" spans="1:28" x14ac:dyDescent="0.2">
      <c r="B7" s="100">
        <v>2020</v>
      </c>
      <c r="C7" s="100">
        <v>1173</v>
      </c>
      <c r="D7" s="100">
        <v>742.7</v>
      </c>
      <c r="E7" s="100">
        <v>758.9</v>
      </c>
      <c r="F7">
        <f t="shared" si="6"/>
        <v>2674.6</v>
      </c>
      <c r="G7" s="74"/>
      <c r="H7">
        <f t="shared" si="1"/>
        <v>22</v>
      </c>
      <c r="I7">
        <f t="shared" si="0"/>
        <v>92.5</v>
      </c>
      <c r="J7">
        <f t="shared" si="0"/>
        <v>131.89999999999998</v>
      </c>
      <c r="L7" s="72">
        <f t="shared" si="2"/>
        <v>8.9285714285714288E-2</v>
      </c>
      <c r="M7" s="72">
        <f t="shared" si="3"/>
        <v>0.37540584415584421</v>
      </c>
      <c r="N7" s="72">
        <f t="shared" si="4"/>
        <v>0.53530844155844148</v>
      </c>
      <c r="O7" s="72"/>
      <c r="Q7" s="101">
        <v>5.0994493000000002E-2</v>
      </c>
      <c r="R7">
        <v>3.9881754999999998E-2</v>
      </c>
      <c r="S7" s="101">
        <v>6.0086134999999999E-2</v>
      </c>
      <c r="T7" s="72">
        <f t="shared" si="5"/>
        <v>5.1689538920454546E-2</v>
      </c>
      <c r="U7" s="73"/>
      <c r="AB7" s="103"/>
    </row>
    <row r="8" spans="1:28" x14ac:dyDescent="0.2">
      <c r="B8" s="100">
        <v>2019</v>
      </c>
      <c r="C8" s="100">
        <v>1151</v>
      </c>
      <c r="D8" s="100">
        <v>650.20000000000005</v>
      </c>
      <c r="E8" s="100">
        <v>627</v>
      </c>
      <c r="F8">
        <f t="shared" si="6"/>
        <v>2428.1999999999998</v>
      </c>
      <c r="G8" s="74"/>
      <c r="H8">
        <f t="shared" si="1"/>
        <v>18</v>
      </c>
      <c r="I8">
        <f t="shared" si="0"/>
        <v>59.600000000000023</v>
      </c>
      <c r="J8">
        <f t="shared" si="0"/>
        <v>114.70000000000005</v>
      </c>
      <c r="L8" s="72">
        <f t="shared" si="2"/>
        <v>9.3603744149765952E-2</v>
      </c>
      <c r="M8" s="72">
        <f t="shared" si="3"/>
        <v>0.30993239729589184</v>
      </c>
      <c r="N8" s="72">
        <f t="shared" si="4"/>
        <v>0.59646385855434225</v>
      </c>
      <c r="O8" s="72"/>
      <c r="Q8" s="101">
        <v>4.5938633E-2</v>
      </c>
      <c r="R8">
        <v>4.7994845000000001E-2</v>
      </c>
      <c r="S8" s="101">
        <v>6.7466520000000002E-2</v>
      </c>
      <c r="T8" s="72">
        <f t="shared" si="5"/>
        <v>5.9416526261050449E-2</v>
      </c>
      <c r="U8" s="73"/>
      <c r="AB8" s="103"/>
    </row>
    <row r="9" spans="1:28" x14ac:dyDescent="0.2">
      <c r="B9" s="100">
        <v>2018</v>
      </c>
      <c r="C9" s="100">
        <v>1133</v>
      </c>
      <c r="D9" s="100">
        <v>590.6</v>
      </c>
      <c r="E9" s="100">
        <v>512.29999999999995</v>
      </c>
      <c r="F9">
        <f t="shared" si="6"/>
        <v>2235.8999999999996</v>
      </c>
      <c r="G9" s="74"/>
      <c r="H9">
        <f t="shared" si="1"/>
        <v>23</v>
      </c>
      <c r="I9">
        <f t="shared" si="0"/>
        <v>51.300000000000068</v>
      </c>
      <c r="J9">
        <f t="shared" si="0"/>
        <v>103.19999999999993</v>
      </c>
      <c r="L9" s="72">
        <f t="shared" si="2"/>
        <v>0.12957746478873239</v>
      </c>
      <c r="M9" s="72">
        <f t="shared" si="3"/>
        <v>0.28901408450704263</v>
      </c>
      <c r="N9" s="72">
        <f t="shared" si="4"/>
        <v>0.58140845070422498</v>
      </c>
      <c r="O9" s="72"/>
      <c r="Q9" s="101">
        <v>4.4194843999999997E-2</v>
      </c>
      <c r="R9">
        <v>5.4763548000000002E-2</v>
      </c>
      <c r="S9" s="101">
        <v>7.7331910000000004E-2</v>
      </c>
      <c r="T9" s="72">
        <f t="shared" si="5"/>
        <v>6.6515518514929567E-2</v>
      </c>
      <c r="U9" s="73"/>
      <c r="AB9" s="103"/>
    </row>
    <row r="10" spans="1:28" x14ac:dyDescent="0.2">
      <c r="B10" s="100">
        <v>2017</v>
      </c>
      <c r="C10" s="100">
        <v>1110</v>
      </c>
      <c r="D10" s="100">
        <v>539.29999999999995</v>
      </c>
      <c r="E10" s="100">
        <v>409.1</v>
      </c>
      <c r="F10">
        <f t="shared" si="6"/>
        <v>2058.4</v>
      </c>
      <c r="G10" s="74"/>
      <c r="H10">
        <f t="shared" si="1"/>
        <v>21</v>
      </c>
      <c r="I10">
        <f t="shared" si="0"/>
        <v>52.599999999999966</v>
      </c>
      <c r="J10">
        <f t="shared" si="0"/>
        <v>105.60000000000002</v>
      </c>
      <c r="L10" s="72">
        <f t="shared" si="2"/>
        <v>0.11718750000000001</v>
      </c>
      <c r="M10" s="72">
        <f t="shared" si="3"/>
        <v>0.29352678571428553</v>
      </c>
      <c r="N10" s="72">
        <f t="shared" si="4"/>
        <v>0.58928571428571441</v>
      </c>
      <c r="O10" s="72"/>
      <c r="Q10" s="101">
        <v>5.6270613999999997E-2</v>
      </c>
      <c r="R10">
        <v>6.4614679999999994E-2</v>
      </c>
      <c r="S10" s="101">
        <v>9.1175790000000007E-2</v>
      </c>
      <c r="T10" s="72">
        <f t="shared" si="5"/>
        <v>7.9288942444196431E-2</v>
      </c>
      <c r="U10" s="73"/>
      <c r="AB10" s="103"/>
    </row>
    <row r="11" spans="1:28" x14ac:dyDescent="0.2">
      <c r="B11" s="100">
        <v>2016</v>
      </c>
      <c r="C11" s="100">
        <v>1089</v>
      </c>
      <c r="D11" s="100">
        <v>486.7</v>
      </c>
      <c r="E11" s="100">
        <v>303.5</v>
      </c>
      <c r="F11">
        <f t="shared" si="6"/>
        <v>1879.2</v>
      </c>
      <c r="G11" s="74"/>
      <c r="H11">
        <f t="shared" si="1"/>
        <v>28</v>
      </c>
      <c r="I11">
        <f t="shared" si="0"/>
        <v>54</v>
      </c>
      <c r="J11">
        <f t="shared" si="0"/>
        <v>75.199999999999989</v>
      </c>
      <c r="L11" s="72">
        <f t="shared" si="2"/>
        <v>0.17811704834605599</v>
      </c>
      <c r="M11" s="72">
        <f t="shared" si="3"/>
        <v>0.34351145038167941</v>
      </c>
      <c r="N11" s="72">
        <f t="shared" si="4"/>
        <v>0.47837150127226458</v>
      </c>
      <c r="O11" s="72"/>
      <c r="Q11" s="101">
        <v>5.3682833999999999E-2</v>
      </c>
      <c r="R11">
        <v>6.8878949999999994E-2</v>
      </c>
      <c r="S11" s="101">
        <v>0.115932256</v>
      </c>
      <c r="T11" s="72">
        <f t="shared" si="5"/>
        <v>8.8681223302798984E-2</v>
      </c>
      <c r="U11" s="73"/>
      <c r="AB11" s="103"/>
    </row>
    <row r="12" spans="1:28" x14ac:dyDescent="0.2">
      <c r="B12" s="100">
        <v>2015</v>
      </c>
      <c r="C12" s="100">
        <v>1061</v>
      </c>
      <c r="D12" s="100">
        <v>432.7</v>
      </c>
      <c r="E12" s="100">
        <v>228.3</v>
      </c>
      <c r="F12">
        <f t="shared" si="6"/>
        <v>1722</v>
      </c>
      <c r="G12" s="74"/>
      <c r="H12">
        <f t="shared" si="1"/>
        <v>32</v>
      </c>
      <c r="I12">
        <f t="shared" si="0"/>
        <v>63.199999999999989</v>
      </c>
      <c r="J12">
        <f t="shared" si="0"/>
        <v>50.100000000000023</v>
      </c>
      <c r="L12" s="72">
        <f t="shared" si="2"/>
        <v>0.22023399862353749</v>
      </c>
      <c r="M12" s="72">
        <f t="shared" si="3"/>
        <v>0.43496214728148647</v>
      </c>
      <c r="N12" s="72">
        <f t="shared" si="4"/>
        <v>0.34480385409497605</v>
      </c>
      <c r="O12" s="72"/>
      <c r="Q12" s="101">
        <v>4.0572964000000003E-2</v>
      </c>
      <c r="R12">
        <v>7.4433819999999998E-2</v>
      </c>
      <c r="S12" s="101">
        <v>0.13236205000000001</v>
      </c>
      <c r="T12" s="72">
        <f t="shared" si="5"/>
        <v>8.695038525120441E-2</v>
      </c>
      <c r="U12" s="73"/>
      <c r="AB12" s="103"/>
    </row>
    <row r="13" spans="1:28" x14ac:dyDescent="0.2">
      <c r="B13" s="100">
        <v>2014</v>
      </c>
      <c r="C13" s="100">
        <v>1029</v>
      </c>
      <c r="D13" s="100">
        <v>369.5</v>
      </c>
      <c r="E13" s="100">
        <v>178.2</v>
      </c>
      <c r="F13">
        <f t="shared" si="6"/>
        <v>1576.7</v>
      </c>
      <c r="G13" s="74"/>
      <c r="H13">
        <f t="shared" si="1"/>
        <v>36.299999999999955</v>
      </c>
      <c r="I13">
        <f t="shared" si="0"/>
        <v>51.100000000000023</v>
      </c>
      <c r="J13">
        <f t="shared" si="0"/>
        <v>40</v>
      </c>
      <c r="L13" s="72">
        <f t="shared" si="2"/>
        <v>0.28492935635792749</v>
      </c>
      <c r="M13" s="72">
        <f t="shared" si="3"/>
        <v>0.40109890109890134</v>
      </c>
      <c r="N13" s="72">
        <f t="shared" si="4"/>
        <v>0.31397174254317117</v>
      </c>
      <c r="O13" s="72"/>
      <c r="Q13" s="101">
        <v>3.6747189999999999E-2</v>
      </c>
      <c r="R13">
        <v>8.6487605999999995E-2</v>
      </c>
      <c r="S13" s="101">
        <v>0.17699121000000001</v>
      </c>
      <c r="T13" s="72">
        <f t="shared" si="5"/>
        <v>0.10073067553846156</v>
      </c>
      <c r="U13" s="73"/>
      <c r="AB13" s="103"/>
    </row>
    <row r="14" spans="1:28" x14ac:dyDescent="0.2">
      <c r="B14" s="100">
        <v>2013</v>
      </c>
      <c r="C14" s="100">
        <v>992.7</v>
      </c>
      <c r="D14" s="100">
        <v>318.39999999999998</v>
      </c>
      <c r="E14" s="100">
        <v>138.19999999999999</v>
      </c>
      <c r="F14">
        <f t="shared" si="6"/>
        <v>1449.3</v>
      </c>
      <c r="G14" s="74"/>
      <c r="H14">
        <f t="shared" si="1"/>
        <v>45.100000000000023</v>
      </c>
      <c r="I14">
        <f t="shared" si="0"/>
        <v>35.399999999999977</v>
      </c>
      <c r="J14">
        <f t="shared" si="0"/>
        <v>37.399999999999991</v>
      </c>
      <c r="L14" s="72">
        <f t="shared" si="2"/>
        <v>0.3825275657336728</v>
      </c>
      <c r="M14" s="72">
        <f t="shared" si="3"/>
        <v>0.3002544529262085</v>
      </c>
      <c r="N14" s="72">
        <f t="shared" si="4"/>
        <v>0.31721798134011869</v>
      </c>
      <c r="O14" s="72"/>
      <c r="Q14" s="101">
        <v>4.7163296E-2</v>
      </c>
      <c r="R14">
        <v>9.6675730000000001E-2</v>
      </c>
      <c r="S14" s="101">
        <v>0.19678166999999999</v>
      </c>
      <c r="T14" s="72">
        <f t="shared" si="5"/>
        <v>0.10949126335538589</v>
      </c>
      <c r="U14" s="73"/>
      <c r="AB14" s="103"/>
    </row>
    <row r="15" spans="1:28" x14ac:dyDescent="0.2">
      <c r="B15" s="100">
        <v>2012</v>
      </c>
      <c r="C15" s="100">
        <v>947.6</v>
      </c>
      <c r="D15" s="100">
        <v>283</v>
      </c>
      <c r="E15" s="100">
        <v>100.8</v>
      </c>
      <c r="F15">
        <f t="shared" si="6"/>
        <v>1331.3999999999999</v>
      </c>
      <c r="G15" s="74"/>
      <c r="H15">
        <f t="shared" si="1"/>
        <v>30.200000000000045</v>
      </c>
      <c r="I15">
        <f t="shared" si="0"/>
        <v>44.599999999999994</v>
      </c>
      <c r="J15">
        <f t="shared" si="0"/>
        <v>29.899999999999991</v>
      </c>
      <c r="L15" s="72">
        <f t="shared" si="2"/>
        <v>0.28844317096466127</v>
      </c>
      <c r="M15" s="72">
        <f t="shared" si="3"/>
        <v>0.42597898758357194</v>
      </c>
      <c r="N15" s="72">
        <f t="shared" si="4"/>
        <v>0.28557784145176679</v>
      </c>
      <c r="O15" s="72"/>
      <c r="Q15" s="101">
        <v>4.2198936999999999E-2</v>
      </c>
      <c r="R15">
        <v>9.5888144999999994E-2</v>
      </c>
      <c r="S15" s="101">
        <v>0.25565216000000002</v>
      </c>
      <c r="T15" s="72">
        <f t="shared" si="5"/>
        <v>0.12602692214326644</v>
      </c>
      <c r="U15" s="73"/>
      <c r="AB15" s="103"/>
    </row>
    <row r="16" spans="1:28" x14ac:dyDescent="0.2">
      <c r="B16" s="100">
        <v>2011</v>
      </c>
      <c r="C16" s="100">
        <v>917.4</v>
      </c>
      <c r="D16" s="100">
        <v>238.4</v>
      </c>
      <c r="E16" s="100">
        <v>70.900000000000006</v>
      </c>
      <c r="F16">
        <f t="shared" si="6"/>
        <v>1226.7</v>
      </c>
      <c r="G16" s="74"/>
      <c r="H16">
        <f t="shared" si="1"/>
        <v>27.799999999999955</v>
      </c>
      <c r="I16">
        <f t="shared" si="0"/>
        <v>44</v>
      </c>
      <c r="J16">
        <f t="shared" si="0"/>
        <v>31.100000000000009</v>
      </c>
      <c r="L16" s="72">
        <f t="shared" si="2"/>
        <v>0.27016520894071883</v>
      </c>
      <c r="M16" s="72">
        <f t="shared" si="3"/>
        <v>0.42759961127308083</v>
      </c>
      <c r="N16" s="72">
        <f t="shared" si="4"/>
        <v>0.3022351797862004</v>
      </c>
      <c r="O16" s="72"/>
      <c r="Q16" s="101">
        <v>4.0560359999999997E-2</v>
      </c>
      <c r="R16">
        <v>0.10551348000000001</v>
      </c>
      <c r="S16" s="101">
        <v>0.34292528</v>
      </c>
      <c r="T16" s="72">
        <f t="shared" si="5"/>
        <v>0.15971960482021388</v>
      </c>
      <c r="U16" s="73"/>
      <c r="V16" t="s">
        <v>408</v>
      </c>
      <c r="AB16" s="103"/>
    </row>
    <row r="17" spans="2:28" x14ac:dyDescent="0.2">
      <c r="B17" s="100">
        <v>2010</v>
      </c>
      <c r="C17" s="100">
        <v>889.6</v>
      </c>
      <c r="D17" s="100">
        <v>194.4</v>
      </c>
      <c r="E17" s="100">
        <v>39.799999999999997</v>
      </c>
      <c r="F17">
        <f t="shared" si="6"/>
        <v>1123.8</v>
      </c>
      <c r="G17" s="74"/>
      <c r="H17">
        <f t="shared" si="1"/>
        <v>30</v>
      </c>
      <c r="I17">
        <f t="shared" si="0"/>
        <v>35.700000000000017</v>
      </c>
      <c r="J17">
        <f t="shared" si="0"/>
        <v>16.799999999999997</v>
      </c>
      <c r="L17" s="72">
        <f t="shared" si="2"/>
        <v>0.36363636363636359</v>
      </c>
      <c r="M17" s="72">
        <f t="shared" si="3"/>
        <v>0.43272727272727285</v>
      </c>
      <c r="N17" s="72">
        <f t="shared" si="4"/>
        <v>0.20363636363636356</v>
      </c>
      <c r="O17" s="72"/>
      <c r="Q17" s="102">
        <v>4.3136439999999998E-2</v>
      </c>
      <c r="R17">
        <v>0.11067678</v>
      </c>
      <c r="S17" s="102">
        <v>0.46001217</v>
      </c>
      <c r="T17" s="72">
        <f t="shared" si="5"/>
        <v>0.15725404487272726</v>
      </c>
      <c r="U17" s="73"/>
      <c r="V17">
        <v>0</v>
      </c>
      <c r="AB17" s="103"/>
    </row>
    <row r="18" spans="2:28" x14ac:dyDescent="0.2">
      <c r="B18" s="100">
        <v>2009</v>
      </c>
      <c r="C18" s="100">
        <v>859.6</v>
      </c>
      <c r="D18" s="100">
        <v>158.69999999999999</v>
      </c>
      <c r="E18" s="100">
        <v>23</v>
      </c>
      <c r="F18">
        <f t="shared" si="6"/>
        <v>1041.3</v>
      </c>
      <c r="G18" s="74"/>
      <c r="H18">
        <f t="shared" si="1"/>
        <v>29.5</v>
      </c>
      <c r="I18">
        <f t="shared" si="0"/>
        <v>37.899999999999991</v>
      </c>
      <c r="J18">
        <f t="shared" si="0"/>
        <v>7</v>
      </c>
      <c r="L18" s="72">
        <f t="shared" si="2"/>
        <v>0.39650537634408606</v>
      </c>
      <c r="M18" s="72">
        <f t="shared" si="3"/>
        <v>0.50940860215053763</v>
      </c>
      <c r="N18" s="72">
        <f t="shared" si="4"/>
        <v>9.4086021505376358E-2</v>
      </c>
      <c r="O18" s="72"/>
      <c r="Q18" s="101">
        <v>4.3136439999999998E-2</v>
      </c>
      <c r="R18">
        <v>0.11424548</v>
      </c>
      <c r="S18">
        <f>$S$17+(V18/V$37)*($S$37-$S$17)</f>
        <v>0.5519183671443515</v>
      </c>
      <c r="T18" s="72">
        <f t="shared" si="5"/>
        <v>0.12722926400551696</v>
      </c>
      <c r="U18" s="73"/>
      <c r="V18">
        <v>1</v>
      </c>
      <c r="AB18" s="103"/>
    </row>
    <row r="19" spans="2:28" x14ac:dyDescent="0.2">
      <c r="B19" s="100">
        <v>2008</v>
      </c>
      <c r="C19" s="100">
        <v>830.1</v>
      </c>
      <c r="D19" s="100">
        <v>120.8</v>
      </c>
      <c r="E19" s="100">
        <v>16</v>
      </c>
      <c r="F19">
        <f t="shared" si="6"/>
        <v>966.9</v>
      </c>
      <c r="G19" s="74"/>
      <c r="H19">
        <f t="shared" si="1"/>
        <v>29</v>
      </c>
      <c r="I19">
        <f t="shared" si="0"/>
        <v>26.899999999999991</v>
      </c>
      <c r="J19">
        <f t="shared" si="0"/>
        <v>6.5</v>
      </c>
      <c r="L19" s="72">
        <f t="shared" si="2"/>
        <v>0.46474358974358981</v>
      </c>
      <c r="M19" s="72">
        <f t="shared" si="3"/>
        <v>0.4310897435897435</v>
      </c>
      <c r="N19" s="72">
        <f t="shared" si="4"/>
        <v>0.10416666666666669</v>
      </c>
      <c r="O19" s="72"/>
      <c r="Q19" s="101">
        <v>4.3136439999999998E-2</v>
      </c>
      <c r="R19">
        <v>0.11653102</v>
      </c>
      <c r="S19">
        <f>$S$17+(V19/V$37)*($S$37-$S$17)</f>
        <v>0.64382456428870294</v>
      </c>
      <c r="T19" s="72">
        <f t="shared" si="5"/>
        <v>0.13734777028648348</v>
      </c>
      <c r="U19" s="73"/>
      <c r="V19">
        <v>2</v>
      </c>
      <c r="AB19" s="103"/>
    </row>
    <row r="20" spans="2:28" x14ac:dyDescent="0.2">
      <c r="B20" s="100">
        <v>2007</v>
      </c>
      <c r="C20" s="100">
        <v>801.1</v>
      </c>
      <c r="D20" s="100">
        <v>93.9</v>
      </c>
      <c r="E20" s="100">
        <v>9.5</v>
      </c>
      <c r="F20">
        <f t="shared" si="6"/>
        <v>904.5</v>
      </c>
      <c r="G20" s="74"/>
      <c r="H20">
        <f t="shared" si="1"/>
        <v>26.899999999999977</v>
      </c>
      <c r="I20">
        <f t="shared" si="0"/>
        <v>19.700000000000003</v>
      </c>
      <c r="J20">
        <f t="shared" si="0"/>
        <v>2.5999999999999996</v>
      </c>
      <c r="L20" s="72">
        <f t="shared" si="2"/>
        <v>0.54674796747967458</v>
      </c>
      <c r="M20" s="72">
        <f t="shared" si="3"/>
        <v>0.40040650406504086</v>
      </c>
      <c r="N20" s="72">
        <f t="shared" si="4"/>
        <v>5.2845528455284563E-2</v>
      </c>
      <c r="O20" s="72"/>
      <c r="Q20" s="101">
        <v>4.3136439999999998E-2</v>
      </c>
      <c r="R20">
        <v>0.11068616000000001</v>
      </c>
      <c r="S20">
        <f>$S$17+(V20/V$37)*($S$37-$S$17)</f>
        <v>0.73573076143305438</v>
      </c>
      <c r="T20" s="72">
        <f t="shared" si="5"/>
        <v>0.10678430015703136</v>
      </c>
      <c r="U20" s="73"/>
      <c r="V20">
        <v>3</v>
      </c>
      <c r="AB20" s="103"/>
    </row>
    <row r="21" spans="2:28" x14ac:dyDescent="0.2">
      <c r="B21" s="100">
        <v>2006</v>
      </c>
      <c r="C21" s="100">
        <v>774.2</v>
      </c>
      <c r="D21" s="100">
        <v>74.2</v>
      </c>
      <c r="E21" s="100">
        <v>6.9</v>
      </c>
      <c r="F21">
        <f t="shared" si="6"/>
        <v>855.30000000000007</v>
      </c>
      <c r="G21" s="74"/>
      <c r="H21">
        <f t="shared" si="1"/>
        <v>21.600000000000023</v>
      </c>
      <c r="I21">
        <f t="shared" si="0"/>
        <v>14.900000000000006</v>
      </c>
      <c r="J21">
        <f t="shared" si="0"/>
        <v>1.7000000000000002</v>
      </c>
      <c r="L21" s="72">
        <f t="shared" si="2"/>
        <v>0.56544502617801062</v>
      </c>
      <c r="M21" s="72">
        <f t="shared" si="3"/>
        <v>0.39005235602094224</v>
      </c>
      <c r="N21" s="72">
        <f t="shared" si="4"/>
        <v>4.4502617801047091E-2</v>
      </c>
      <c r="O21" s="72"/>
      <c r="Q21" s="101">
        <v>4.3136439999999998E-2</v>
      </c>
      <c r="R21">
        <v>0.121544786</v>
      </c>
      <c r="S21">
        <f>$S$17+(V21/V$37)*($S$37-$S$17)</f>
        <v>0.82763695857740582</v>
      </c>
      <c r="T21" s="72">
        <f t="shared" si="5"/>
        <v>0.10863212683197876</v>
      </c>
      <c r="U21" s="73"/>
      <c r="V21">
        <v>4</v>
      </c>
      <c r="AB21" s="103"/>
    </row>
    <row r="22" spans="2:28" x14ac:dyDescent="0.2">
      <c r="B22" s="100">
        <v>2005</v>
      </c>
      <c r="C22" s="100">
        <v>752.6</v>
      </c>
      <c r="D22" s="100">
        <v>59.3</v>
      </c>
      <c r="E22" s="100">
        <v>5.2</v>
      </c>
      <c r="F22">
        <f t="shared" si="6"/>
        <v>817.1</v>
      </c>
      <c r="G22" s="74"/>
      <c r="H22">
        <f t="shared" si="1"/>
        <v>21.5</v>
      </c>
      <c r="I22">
        <f t="shared" si="0"/>
        <v>11.699999999999996</v>
      </c>
      <c r="J22">
        <f t="shared" si="0"/>
        <v>1.5</v>
      </c>
      <c r="L22" s="72">
        <f t="shared" si="2"/>
        <v>0.61959654178674362</v>
      </c>
      <c r="M22" s="72">
        <f t="shared" si="3"/>
        <v>0.33717579250720453</v>
      </c>
      <c r="N22" s="72">
        <f t="shared" si="4"/>
        <v>4.3227665706051875E-2</v>
      </c>
      <c r="O22" s="72"/>
      <c r="Q22" s="101">
        <v>4.3136439999999998E-2</v>
      </c>
      <c r="R22">
        <v>0.11813976599999999</v>
      </c>
      <c r="S22">
        <f>$S$17+(V22/V$37)*($S$37-$S$17)</f>
        <v>0.91954315572175727</v>
      </c>
      <c r="T22" s="72">
        <f t="shared" si="5"/>
        <v>0.10631076241448517</v>
      </c>
      <c r="U22" s="73"/>
      <c r="V22">
        <v>5</v>
      </c>
      <c r="AB22" s="103"/>
    </row>
    <row r="23" spans="2:28" x14ac:dyDescent="0.2">
      <c r="B23" s="100">
        <v>2004</v>
      </c>
      <c r="C23" s="100">
        <v>731.1</v>
      </c>
      <c r="D23" s="100">
        <v>47.6</v>
      </c>
      <c r="E23" s="100">
        <v>3.7</v>
      </c>
      <c r="F23">
        <f t="shared" si="6"/>
        <v>782.40000000000009</v>
      </c>
      <c r="G23" s="74"/>
      <c r="H23">
        <f t="shared" si="1"/>
        <v>20.600000000000023</v>
      </c>
      <c r="I23">
        <f t="shared" si="0"/>
        <v>8.3000000000000043</v>
      </c>
      <c r="J23">
        <f t="shared" si="0"/>
        <v>1.1000000000000001</v>
      </c>
      <c r="L23" s="72">
        <f t="shared" si="2"/>
        <v>0.68666666666666676</v>
      </c>
      <c r="M23" s="72">
        <f t="shared" si="3"/>
        <v>0.27666666666666656</v>
      </c>
      <c r="N23" s="72">
        <f t="shared" si="4"/>
        <v>3.6666666666666632E-2</v>
      </c>
      <c r="O23" s="72"/>
      <c r="Q23" s="101">
        <v>4.3136439999999998E-2</v>
      </c>
      <c r="R23">
        <v>0.12617247000000001</v>
      </c>
      <c r="S23">
        <f>$S$17+(V23/V$37)*($S$37-$S$17)</f>
        <v>1.0114493528661086</v>
      </c>
      <c r="T23" s="72">
        <f t="shared" si="5"/>
        <v>0.10161454843842394</v>
      </c>
      <c r="U23" s="73"/>
      <c r="V23">
        <v>6</v>
      </c>
      <c r="AB23" s="103"/>
    </row>
    <row r="24" spans="2:28" x14ac:dyDescent="0.2">
      <c r="B24" s="100">
        <v>2003</v>
      </c>
      <c r="C24" s="100">
        <v>710.5</v>
      </c>
      <c r="D24" s="100">
        <v>39.299999999999997</v>
      </c>
      <c r="E24" s="100">
        <v>2.6</v>
      </c>
      <c r="F24">
        <f t="shared" si="6"/>
        <v>752.4</v>
      </c>
      <c r="G24" s="74"/>
      <c r="H24">
        <f t="shared" si="1"/>
        <v>20.299999999999955</v>
      </c>
      <c r="I24">
        <f t="shared" si="0"/>
        <v>7.1999999999999957</v>
      </c>
      <c r="J24">
        <f t="shared" si="0"/>
        <v>0.70000000000000018</v>
      </c>
      <c r="L24" s="72">
        <f t="shared" si="2"/>
        <v>0.71985815602836845</v>
      </c>
      <c r="M24" s="72">
        <f t="shared" si="3"/>
        <v>0.25531914893617053</v>
      </c>
      <c r="N24" s="72">
        <f t="shared" si="4"/>
        <v>2.4822695035461043E-2</v>
      </c>
      <c r="O24" s="72"/>
      <c r="Q24" s="101">
        <v>4.3136439999999998E-2</v>
      </c>
      <c r="R24">
        <v>0.12409019</v>
      </c>
      <c r="S24">
        <f>$S$17+(V24/V$37)*($S$37-$S$17)</f>
        <v>1.1033555500104602</v>
      </c>
      <c r="T24" s="72">
        <f t="shared" si="5"/>
        <v>9.0122978191749095E-2</v>
      </c>
      <c r="U24" s="73"/>
      <c r="V24">
        <v>7</v>
      </c>
      <c r="AB24" s="103"/>
    </row>
    <row r="25" spans="2:28" x14ac:dyDescent="0.2">
      <c r="B25" s="100">
        <v>2002</v>
      </c>
      <c r="C25" s="100">
        <v>690.2</v>
      </c>
      <c r="D25" s="100">
        <v>32.1</v>
      </c>
      <c r="E25" s="100">
        <v>1.9</v>
      </c>
      <c r="F25">
        <f t="shared" si="6"/>
        <v>724.2</v>
      </c>
      <c r="G25" s="74"/>
      <c r="H25">
        <f t="shared" si="1"/>
        <v>10.600000000000023</v>
      </c>
      <c r="I25">
        <f t="shared" si="0"/>
        <v>7.2000000000000028</v>
      </c>
      <c r="J25">
        <f t="shared" si="0"/>
        <v>0.39999999999999991</v>
      </c>
      <c r="L25" s="72">
        <f t="shared" si="2"/>
        <v>0.5824175824175829</v>
      </c>
      <c r="M25" s="72">
        <f t="shared" si="3"/>
        <v>0.39560439560439525</v>
      </c>
      <c r="N25" s="72">
        <f t="shared" si="4"/>
        <v>2.1978021978021945E-2</v>
      </c>
      <c r="O25" s="72"/>
      <c r="Q25" s="101">
        <v>4.3136439999999998E-2</v>
      </c>
      <c r="R25">
        <v>0.14165795</v>
      </c>
      <c r="S25">
        <f>$S$17+(V25/V$37)*($S$37-$S$17)</f>
        <v>1.1952617471548117</v>
      </c>
      <c r="T25" s="72">
        <f t="shared" si="5"/>
        <v>0.10743341773966612</v>
      </c>
      <c r="U25" s="73"/>
      <c r="V25">
        <v>8</v>
      </c>
      <c r="AB25" s="103"/>
    </row>
    <row r="26" spans="2:28" x14ac:dyDescent="0.2">
      <c r="B26" s="100">
        <v>2001</v>
      </c>
      <c r="C26" s="100">
        <v>679.6</v>
      </c>
      <c r="D26" s="100">
        <v>24.9</v>
      </c>
      <c r="E26" s="100">
        <v>1.5</v>
      </c>
      <c r="F26">
        <f t="shared" si="6"/>
        <v>706</v>
      </c>
      <c r="G26" s="74"/>
      <c r="H26">
        <f t="shared" si="1"/>
        <v>12</v>
      </c>
      <c r="I26">
        <f t="shared" si="0"/>
        <v>6.3999999999999986</v>
      </c>
      <c r="J26">
        <f t="shared" si="0"/>
        <v>0.39999999999999991</v>
      </c>
      <c r="L26" s="72">
        <f t="shared" si="2"/>
        <v>0.63829787234042568</v>
      </c>
      <c r="M26" s="72">
        <f t="shared" si="3"/>
        <v>0.34042553191489361</v>
      </c>
      <c r="N26" s="72">
        <f t="shared" si="4"/>
        <v>2.1276595744680851E-2</v>
      </c>
      <c r="O26" s="72"/>
      <c r="Q26" s="101">
        <v>4.3136439999999998E-2</v>
      </c>
      <c r="R26">
        <v>0.15322537999999999</v>
      </c>
      <c r="S26">
        <f>$S$17+(V26/V$37)*($S$37-$S$17)</f>
        <v>1.287167944299163</v>
      </c>
      <c r="T26" s="72">
        <f t="shared" si="5"/>
        <v>0.1070822813680673</v>
      </c>
      <c r="U26" s="73"/>
      <c r="V26">
        <v>9</v>
      </c>
      <c r="AB26" s="103"/>
    </row>
    <row r="27" spans="2:28" x14ac:dyDescent="0.2">
      <c r="B27" s="100">
        <v>2000</v>
      </c>
      <c r="C27" s="100">
        <v>667.6</v>
      </c>
      <c r="D27" s="100">
        <v>18.5</v>
      </c>
      <c r="E27" s="100">
        <v>1.1000000000000001</v>
      </c>
      <c r="F27">
        <f t="shared" si="6"/>
        <v>687.2</v>
      </c>
      <c r="G27" s="74"/>
      <c r="H27">
        <f t="shared" si="1"/>
        <v>1.3000000000000682</v>
      </c>
      <c r="I27">
        <f t="shared" si="0"/>
        <v>4.5999999999999996</v>
      </c>
      <c r="J27">
        <f t="shared" si="0"/>
        <v>0.20000000000000007</v>
      </c>
      <c r="L27" s="72">
        <f t="shared" si="2"/>
        <v>0.21311475409836947</v>
      </c>
      <c r="M27" s="72">
        <f t="shared" si="3"/>
        <v>0.75409836065572922</v>
      </c>
      <c r="N27" s="72">
        <f t="shared" si="4"/>
        <v>3.2786885245901287E-2</v>
      </c>
      <c r="O27" s="72"/>
      <c r="Q27" s="101">
        <v>4.3136439999999998E-2</v>
      </c>
      <c r="R27">
        <v>0.17458597000000001</v>
      </c>
      <c r="S27">
        <f>$S$17+(V27/V$37)*($S$37-$S$17)</f>
        <v>1.3790741414435146</v>
      </c>
      <c r="T27" s="72">
        <f t="shared" si="5"/>
        <v>0.18606355119486775</v>
      </c>
      <c r="U27" s="73"/>
      <c r="V27">
        <v>10</v>
      </c>
      <c r="AB27" s="103"/>
    </row>
    <row r="28" spans="2:28" x14ac:dyDescent="0.2">
      <c r="B28" s="100">
        <v>1999</v>
      </c>
      <c r="C28" s="100">
        <v>666.3</v>
      </c>
      <c r="D28" s="100">
        <v>13.9</v>
      </c>
      <c r="E28" s="100">
        <v>0.9</v>
      </c>
      <c r="F28">
        <f t="shared" si="6"/>
        <v>681.09999999999991</v>
      </c>
      <c r="G28" s="74"/>
      <c r="H28">
        <f t="shared" si="1"/>
        <v>16.5</v>
      </c>
      <c r="I28">
        <f t="shared" si="0"/>
        <v>3.7000000000000011</v>
      </c>
      <c r="J28">
        <f t="shared" si="0"/>
        <v>0.20000000000000007</v>
      </c>
      <c r="L28" s="72">
        <f t="shared" si="2"/>
        <v>0.80882352941176461</v>
      </c>
      <c r="M28" s="72">
        <f t="shared" si="3"/>
        <v>0.18137254901960786</v>
      </c>
      <c r="N28" s="72">
        <f t="shared" si="4"/>
        <v>9.8039215686274526E-3</v>
      </c>
      <c r="O28" s="72"/>
      <c r="Q28" s="101">
        <v>4.3136439999999998E-2</v>
      </c>
      <c r="R28">
        <v>0.16304225999999999</v>
      </c>
      <c r="S28">
        <f>$S$17+(V28/V$37)*($S$37-$S$17)</f>
        <v>1.4709803385878659</v>
      </c>
      <c r="T28" s="72">
        <f t="shared" si="5"/>
        <v>7.8882533809684949E-2</v>
      </c>
      <c r="U28" s="73"/>
      <c r="V28">
        <v>11</v>
      </c>
      <c r="AB28" s="103"/>
    </row>
    <row r="29" spans="2:28" x14ac:dyDescent="0.2">
      <c r="B29" s="100">
        <v>1998</v>
      </c>
      <c r="C29" s="100">
        <v>649.79999999999995</v>
      </c>
      <c r="D29" s="100">
        <v>10.199999999999999</v>
      </c>
      <c r="E29" s="100">
        <v>0.7</v>
      </c>
      <c r="F29">
        <f t="shared" si="6"/>
        <v>660.7</v>
      </c>
      <c r="G29" s="74"/>
      <c r="H29">
        <f t="shared" si="1"/>
        <v>9.6999999999999318</v>
      </c>
      <c r="I29">
        <f t="shared" si="0"/>
        <v>2.5999999999999996</v>
      </c>
      <c r="J29">
        <f t="shared" si="0"/>
        <v>0.19999999999999996</v>
      </c>
      <c r="L29" s="72">
        <f t="shared" si="2"/>
        <v>0.7759999999999988</v>
      </c>
      <c r="M29" s="72">
        <f t="shared" si="3"/>
        <v>0.20800000000000113</v>
      </c>
      <c r="N29" s="72">
        <f t="shared" si="4"/>
        <v>1.6000000000000084E-2</v>
      </c>
      <c r="O29" s="72"/>
      <c r="Q29" s="101">
        <v>4.3136439999999998E-2</v>
      </c>
      <c r="R29">
        <v>0.16560026</v>
      </c>
      <c r="S29">
        <f>$S$17+(V29/V$37)*($S$37-$S$17)</f>
        <v>1.5628865357322173</v>
      </c>
      <c r="T29" s="72">
        <f t="shared" si="5"/>
        <v>9.2924916091715742E-2</v>
      </c>
      <c r="U29" s="73"/>
      <c r="V29">
        <v>12</v>
      </c>
      <c r="AB29" s="103"/>
    </row>
    <row r="30" spans="2:28" x14ac:dyDescent="0.2">
      <c r="B30" s="100">
        <v>1997</v>
      </c>
      <c r="C30" s="100">
        <v>640.1</v>
      </c>
      <c r="D30" s="100">
        <v>7.6</v>
      </c>
      <c r="E30" s="100">
        <v>0.5</v>
      </c>
      <c r="F30">
        <f t="shared" si="6"/>
        <v>648.20000000000005</v>
      </c>
      <c r="G30" s="74"/>
      <c r="H30">
        <f t="shared" si="1"/>
        <v>14.5</v>
      </c>
      <c r="I30">
        <f t="shared" si="0"/>
        <v>1.5</v>
      </c>
      <c r="J30">
        <f t="shared" si="0"/>
        <v>9.9999999999999978E-2</v>
      </c>
      <c r="L30" s="72">
        <f t="shared" si="2"/>
        <v>0.90062111801242228</v>
      </c>
      <c r="M30" s="72">
        <f t="shared" si="3"/>
        <v>9.3167701863354033E-2</v>
      </c>
      <c r="N30" s="72">
        <f t="shared" si="4"/>
        <v>6.2111801242236003E-3</v>
      </c>
      <c r="O30" s="72"/>
      <c r="Q30" s="101">
        <v>4.3136439999999998E-2</v>
      </c>
      <c r="R30">
        <v>0.17665792</v>
      </c>
      <c r="S30">
        <f>$S$17+(V30/V$37)*($S$37-$S$17)</f>
        <v>1.6547927328765688</v>
      </c>
      <c r="T30" s="72">
        <f t="shared" si="5"/>
        <v>6.5586616974388612E-2</v>
      </c>
      <c r="U30" s="73"/>
      <c r="V30">
        <v>13</v>
      </c>
      <c r="AB30" s="103"/>
    </row>
    <row r="31" spans="2:28" x14ac:dyDescent="0.2">
      <c r="B31" s="100">
        <v>1996</v>
      </c>
      <c r="C31" s="100">
        <v>625.6</v>
      </c>
      <c r="D31" s="100">
        <v>6.1</v>
      </c>
      <c r="E31" s="100">
        <v>0.4</v>
      </c>
      <c r="F31">
        <f t="shared" si="6"/>
        <v>632.1</v>
      </c>
      <c r="G31" s="74"/>
      <c r="H31">
        <f t="shared" si="1"/>
        <v>9.7000000000000455</v>
      </c>
      <c r="I31">
        <f t="shared" si="0"/>
        <v>1.2999999999999998</v>
      </c>
      <c r="J31">
        <f t="shared" si="0"/>
        <v>0.10000000000000003</v>
      </c>
      <c r="L31" s="72">
        <f t="shared" si="2"/>
        <v>0.87387387387387438</v>
      </c>
      <c r="M31" s="72">
        <f t="shared" si="3"/>
        <v>0.11711711711711661</v>
      </c>
      <c r="N31" s="72">
        <f t="shared" si="4"/>
        <v>9.0090090090089742E-3</v>
      </c>
      <c r="O31" s="72"/>
      <c r="Q31" s="101">
        <v>4.3136439999999998E-2</v>
      </c>
      <c r="R31">
        <v>0.20189528000000001</v>
      </c>
      <c r="S31">
        <f>$S$17+(V31/V$37)*($S$37-$S$17)</f>
        <v>1.7466989300209201</v>
      </c>
      <c r="T31" s="72">
        <f t="shared" si="5"/>
        <v>7.7077227477665808E-2</v>
      </c>
      <c r="U31" s="73"/>
      <c r="V31">
        <v>14</v>
      </c>
      <c r="AB31" s="103"/>
    </row>
    <row r="32" spans="2:28" x14ac:dyDescent="0.2">
      <c r="B32" s="100">
        <v>1995</v>
      </c>
      <c r="C32" s="100">
        <v>615.9</v>
      </c>
      <c r="D32" s="100">
        <v>4.8</v>
      </c>
      <c r="E32" s="100">
        <v>0.3</v>
      </c>
      <c r="F32">
        <f t="shared" si="6"/>
        <v>620.99999999999989</v>
      </c>
      <c r="G32" s="74"/>
      <c r="H32">
        <f t="shared" si="1"/>
        <v>11.600000000000023</v>
      </c>
      <c r="I32">
        <f t="shared" si="0"/>
        <v>1.2999999999999998</v>
      </c>
      <c r="J32">
        <f t="shared" si="0"/>
        <v>0</v>
      </c>
      <c r="L32" s="72">
        <f t="shared" si="2"/>
        <v>0.89922480620155054</v>
      </c>
      <c r="M32" s="72">
        <f t="shared" si="3"/>
        <v>0.10077519379844942</v>
      </c>
      <c r="N32" s="72">
        <f t="shared" si="4"/>
        <v>0</v>
      </c>
      <c r="O32" s="72"/>
      <c r="Q32" s="101">
        <v>4.3136439999999998E-2</v>
      </c>
      <c r="R32">
        <v>0.22607207000000001</v>
      </c>
      <c r="S32">
        <f>$S$17+(V32/V$37)*($S$37-$S$17)</f>
        <v>1.8386051271652717</v>
      </c>
      <c r="T32" s="72">
        <f t="shared" si="5"/>
        <v>6.1571813565891434E-2</v>
      </c>
      <c r="U32" s="73"/>
      <c r="V32">
        <v>15</v>
      </c>
      <c r="AB32" s="103"/>
    </row>
    <row r="33" spans="2:28" x14ac:dyDescent="0.2">
      <c r="B33" s="100">
        <v>1994</v>
      </c>
      <c r="C33" s="100">
        <v>604.29999999999995</v>
      </c>
      <c r="D33" s="100">
        <v>3.5</v>
      </c>
      <c r="E33" s="100">
        <v>0.3</v>
      </c>
      <c r="F33">
        <f t="shared" si="6"/>
        <v>608.09999999999991</v>
      </c>
      <c r="G33" s="74"/>
      <c r="H33">
        <f t="shared" si="1"/>
        <v>13.799999999999955</v>
      </c>
      <c r="I33">
        <f t="shared" si="0"/>
        <v>0.39999999999999991</v>
      </c>
      <c r="J33">
        <f t="shared" si="0"/>
        <v>9.9999999999999978E-2</v>
      </c>
      <c r="L33" s="72">
        <f t="shared" si="2"/>
        <v>0.96503496503496489</v>
      </c>
      <c r="M33" s="72">
        <f t="shared" si="3"/>
        <v>2.7972027972028055E-2</v>
      </c>
      <c r="N33" s="72">
        <f t="shared" si="4"/>
        <v>6.9930069930070138E-3</v>
      </c>
      <c r="O33" s="72"/>
      <c r="Q33" s="101">
        <v>4.3136439999999998E-2</v>
      </c>
      <c r="R33">
        <v>0.21623983999999999</v>
      </c>
      <c r="S33">
        <f>$S$17+(V33/V$37)*($S$37-$S$17)</f>
        <v>1.9305113243096232</v>
      </c>
      <c r="T33" s="72">
        <f t="shared" si="5"/>
        <v>6.1176918911256158E-2</v>
      </c>
      <c r="U33" s="73"/>
      <c r="V33">
        <v>16</v>
      </c>
      <c r="AB33" s="103"/>
    </row>
    <row r="34" spans="2:28" x14ac:dyDescent="0.2">
      <c r="B34" s="100">
        <v>1993</v>
      </c>
      <c r="C34" s="100">
        <v>590.5</v>
      </c>
      <c r="D34" s="100">
        <v>3.1</v>
      </c>
      <c r="E34" s="100">
        <v>0.2</v>
      </c>
      <c r="F34">
        <f t="shared" si="6"/>
        <v>593.80000000000007</v>
      </c>
      <c r="G34" s="74"/>
      <c r="H34">
        <f t="shared" si="1"/>
        <v>12.399999999999977</v>
      </c>
      <c r="I34">
        <f t="shared" si="0"/>
        <v>0.39999999999999991</v>
      </c>
      <c r="J34">
        <f t="shared" si="0"/>
        <v>0</v>
      </c>
      <c r="L34" s="72">
        <f t="shared" si="2"/>
        <v>0.96874999999999989</v>
      </c>
      <c r="M34" s="72">
        <f t="shared" si="3"/>
        <v>3.1250000000000049E-2</v>
      </c>
      <c r="N34" s="72">
        <f t="shared" si="4"/>
        <v>0</v>
      </c>
      <c r="O34" s="72"/>
      <c r="Q34" s="101">
        <v>4.3136439999999998E-2</v>
      </c>
      <c r="R34">
        <v>0.2295759</v>
      </c>
      <c r="S34">
        <f>$S$17+(V34/V$37)*($S$37-$S$17)</f>
        <v>2.0224175214539746</v>
      </c>
      <c r="T34" s="72">
        <f t="shared" si="5"/>
        <v>4.8962673125000009E-2</v>
      </c>
      <c r="U34" s="73"/>
      <c r="V34">
        <v>17</v>
      </c>
      <c r="AB34" s="103"/>
    </row>
    <row r="35" spans="2:28" x14ac:dyDescent="0.2">
      <c r="B35" s="100">
        <v>1992</v>
      </c>
      <c r="C35" s="100">
        <v>578.1</v>
      </c>
      <c r="D35" s="100">
        <v>2.7</v>
      </c>
      <c r="E35" s="100">
        <v>0.2</v>
      </c>
      <c r="F35">
        <f t="shared" si="6"/>
        <v>581.00000000000011</v>
      </c>
      <c r="G35" s="74"/>
      <c r="H35">
        <f t="shared" si="1"/>
        <v>8.6000000000000227</v>
      </c>
      <c r="I35">
        <f t="shared" si="0"/>
        <v>0.40000000000000036</v>
      </c>
      <c r="J35">
        <f t="shared" si="0"/>
        <v>0.1</v>
      </c>
      <c r="L35" s="72">
        <f t="shared" si="2"/>
        <v>0.94505494505494514</v>
      </c>
      <c r="M35" s="72">
        <f t="shared" si="3"/>
        <v>4.3956043956043883E-2</v>
      </c>
      <c r="N35" s="72">
        <f t="shared" si="4"/>
        <v>1.0989010989010962E-2</v>
      </c>
      <c r="O35" s="72"/>
      <c r="Q35" s="101">
        <v>4.3136439999999998E-2</v>
      </c>
      <c r="R35">
        <v>0.21823226000000001</v>
      </c>
      <c r="S35">
        <f>$S$17+(V35/V$37)*($S$37-$S$17)</f>
        <v>2.1143237185983264</v>
      </c>
      <c r="T35" s="72">
        <f t="shared" si="5"/>
        <v>7.3593259325256261E-2</v>
      </c>
      <c r="U35" s="73"/>
      <c r="V35">
        <v>18</v>
      </c>
      <c r="AB35" s="103"/>
    </row>
    <row r="36" spans="2:28" x14ac:dyDescent="0.2">
      <c r="B36" s="100">
        <v>1991</v>
      </c>
      <c r="C36" s="100">
        <v>569.5</v>
      </c>
      <c r="D36" s="100">
        <v>2.2999999999999998</v>
      </c>
      <c r="E36" s="100">
        <v>0.1</v>
      </c>
      <c r="F36">
        <f>C36+D36+E36</f>
        <v>571.9</v>
      </c>
      <c r="G36" s="74"/>
      <c r="H36">
        <f t="shared" si="1"/>
        <v>3.5</v>
      </c>
      <c r="I36">
        <f t="shared" si="0"/>
        <v>0.29999999999999982</v>
      </c>
      <c r="J36">
        <f t="shared" si="0"/>
        <v>0</v>
      </c>
      <c r="L36" s="72">
        <f t="shared" si="2"/>
        <v>0.92105263157894746</v>
      </c>
      <c r="M36" s="72">
        <f t="shared" si="3"/>
        <v>7.8947368421052586E-2</v>
      </c>
      <c r="N36" s="72">
        <f t="shared" si="4"/>
        <v>0</v>
      </c>
      <c r="O36" s="72"/>
      <c r="Q36" s="101">
        <v>4.3136439999999998E-2</v>
      </c>
      <c r="R36">
        <v>0.21782480000000001</v>
      </c>
      <c r="S36">
        <f>$S$17+(V36/V$37)*($S$37-$S$17)</f>
        <v>2.2062299157426777</v>
      </c>
      <c r="T36" s="72">
        <f t="shared" si="5"/>
        <v>5.6927626315789473E-2</v>
      </c>
      <c r="U36" s="73"/>
      <c r="V36">
        <v>19</v>
      </c>
      <c r="AB36" s="103"/>
    </row>
    <row r="37" spans="2:28" x14ac:dyDescent="0.2">
      <c r="B37" s="100">
        <v>1990</v>
      </c>
      <c r="C37" s="100">
        <v>566</v>
      </c>
      <c r="D37" s="100">
        <v>2</v>
      </c>
      <c r="E37" s="100">
        <v>0.1</v>
      </c>
      <c r="F37" s="100">
        <v>568.1</v>
      </c>
      <c r="G37" s="74"/>
      <c r="H37">
        <f t="shared" si="1"/>
        <v>566</v>
      </c>
      <c r="I37">
        <f t="shared" si="0"/>
        <v>2</v>
      </c>
      <c r="J37">
        <f t="shared" si="0"/>
        <v>0.1</v>
      </c>
      <c r="L37" s="72">
        <f t="shared" si="2"/>
        <v>0.99630346769934863</v>
      </c>
      <c r="M37" s="72">
        <f t="shared" si="3"/>
        <v>3.5205069530012323E-3</v>
      </c>
      <c r="N37" s="72">
        <f t="shared" si="4"/>
        <v>1.7602534765006161E-4</v>
      </c>
      <c r="O37" s="72"/>
      <c r="Q37" s="101">
        <v>4.3136439999999998E-2</v>
      </c>
      <c r="R37">
        <v>0.22708903</v>
      </c>
      <c r="S37" s="74">
        <f>S17*S43</f>
        <v>2.298136112887029</v>
      </c>
      <c r="T37" s="72">
        <f t="shared" si="5"/>
        <v>4.4180983473488297E-2</v>
      </c>
      <c r="U37" s="73"/>
      <c r="V37">
        <v>20</v>
      </c>
      <c r="AB37" s="103"/>
    </row>
    <row r="40" spans="2:28" x14ac:dyDescent="0.2">
      <c r="B40" t="s">
        <v>421</v>
      </c>
      <c r="P40" t="s">
        <v>409</v>
      </c>
    </row>
    <row r="41" spans="2:28" x14ac:dyDescent="0.2">
      <c r="B41" t="s">
        <v>422</v>
      </c>
      <c r="P41" t="s">
        <v>415</v>
      </c>
      <c r="S41">
        <v>11.94</v>
      </c>
    </row>
    <row r="42" spans="2:28" x14ac:dyDescent="0.2">
      <c r="P42" t="s">
        <v>416</v>
      </c>
      <c r="S42">
        <v>2.39</v>
      </c>
    </row>
    <row r="43" spans="2:28" x14ac:dyDescent="0.2">
      <c r="P43" t="s">
        <v>417</v>
      </c>
      <c r="S43">
        <f>S41 / S42</f>
        <v>4.9958158995815891</v>
      </c>
    </row>
    <row r="44" spans="2:28" x14ac:dyDescent="0.2">
      <c r="P44" t="s">
        <v>418</v>
      </c>
    </row>
    <row r="46" spans="2:28" x14ac:dyDescent="0.2">
      <c r="P46" t="s">
        <v>411</v>
      </c>
      <c r="R46" s="12" t="s">
        <v>398</v>
      </c>
      <c r="V46" t="s">
        <v>413</v>
      </c>
    </row>
    <row r="47" spans="2:28" x14ac:dyDescent="0.2">
      <c r="P47" t="s">
        <v>412</v>
      </c>
      <c r="R47" s="12" t="s">
        <v>414</v>
      </c>
      <c r="V47" t="s">
        <v>413</v>
      </c>
    </row>
    <row r="53" spans="29:30" ht="33" customHeight="1" x14ac:dyDescent="0.2">
      <c r="AC53" s="99" t="s">
        <v>397</v>
      </c>
      <c r="AD53" s="99"/>
    </row>
  </sheetData>
  <hyperlinks>
    <hyperlink ref="R46" r:id="rId1" xr:uid="{9338EA75-C977-8847-9FBA-2DF79DCA813F}"/>
    <hyperlink ref="R47" r:id="rId2" xr:uid="{C6C85D8D-6247-0749-971E-CAFF724F9D61}"/>
  </hyperlinks>
  <pageMargins left="0.7" right="0.7" top="0.78740157499999996" bottom="0.78740157499999996" header="0.3" footer="0.3"/>
  <pageSetup paperSize="9" orientation="portrait" horizontalDpi="0" verticalDpi="0"/>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D833EF-E926-CD42-A5DD-7853AB3BADC1}">
  <dimension ref="A1:L105"/>
  <sheetViews>
    <sheetView workbookViewId="0">
      <selection activeCell="K16" sqref="K16"/>
    </sheetView>
  </sheetViews>
  <sheetFormatPr baseColWidth="10" defaultRowHeight="15" x14ac:dyDescent="0.2"/>
  <cols>
    <col min="1" max="1" width="10.83203125" customWidth="1"/>
    <col min="2" max="2" width="23.1640625" customWidth="1"/>
    <col min="3" max="3" width="25.83203125" customWidth="1"/>
    <col min="4" max="4" width="16.5" customWidth="1"/>
    <col min="5" max="5" width="17.6640625" customWidth="1"/>
  </cols>
  <sheetData>
    <row r="1" spans="1:10" x14ac:dyDescent="0.2">
      <c r="A1" s="106" t="s">
        <v>470</v>
      </c>
      <c r="B1" s="106"/>
      <c r="C1" s="106"/>
      <c r="D1" s="106"/>
      <c r="E1" s="106"/>
      <c r="F1" s="106"/>
    </row>
    <row r="2" spans="1:10" x14ac:dyDescent="0.2">
      <c r="A2" s="106"/>
      <c r="B2" s="106"/>
      <c r="C2" s="106"/>
      <c r="D2" s="106"/>
      <c r="E2" s="106"/>
      <c r="F2" s="106"/>
    </row>
    <row r="3" spans="1:10" ht="160" customHeight="1" x14ac:dyDescent="0.2">
      <c r="A3" s="106"/>
      <c r="B3" s="106"/>
      <c r="C3" s="106"/>
      <c r="D3" s="106"/>
      <c r="E3" s="106"/>
      <c r="F3" s="106"/>
    </row>
    <row r="5" spans="1:10" ht="42" customHeight="1" x14ac:dyDescent="0.2">
      <c r="A5" s="108" t="s">
        <v>471</v>
      </c>
      <c r="B5" t="s">
        <v>455</v>
      </c>
      <c r="C5" s="13" t="s">
        <v>456</v>
      </c>
      <c r="D5" s="13" t="s">
        <v>457</v>
      </c>
      <c r="E5" s="13" t="s">
        <v>458</v>
      </c>
      <c r="F5" t="s">
        <v>459</v>
      </c>
      <c r="G5" t="s">
        <v>460</v>
      </c>
      <c r="H5" t="s">
        <v>461</v>
      </c>
    </row>
    <row r="6" spans="1:10" x14ac:dyDescent="0.2">
      <c r="A6" s="108" t="s">
        <v>358</v>
      </c>
      <c r="B6" t="s">
        <v>463</v>
      </c>
      <c r="D6" t="s">
        <v>462</v>
      </c>
      <c r="E6" t="s">
        <v>438</v>
      </c>
      <c r="F6" t="s">
        <v>465</v>
      </c>
      <c r="G6" t="s">
        <v>308</v>
      </c>
      <c r="H6" t="s">
        <v>464</v>
      </c>
    </row>
    <row r="8" spans="1:10" ht="29" customHeight="1" x14ac:dyDescent="0.2">
      <c r="A8" s="106" t="s">
        <v>472</v>
      </c>
      <c r="B8" s="106"/>
      <c r="C8" s="106"/>
      <c r="D8" s="106"/>
      <c r="E8" s="106"/>
      <c r="F8" s="106"/>
      <c r="G8" s="106"/>
      <c r="H8" s="106"/>
      <c r="I8" s="106"/>
      <c r="J8" t="s">
        <v>483</v>
      </c>
    </row>
    <row r="10" spans="1:10" x14ac:dyDescent="0.2">
      <c r="A10" s="105" t="s">
        <v>473</v>
      </c>
    </row>
    <row r="12" spans="1:10" x14ac:dyDescent="0.2">
      <c r="A12" s="8" t="s">
        <v>474</v>
      </c>
      <c r="B12" t="s">
        <v>425</v>
      </c>
      <c r="C12" t="s">
        <v>426</v>
      </c>
    </row>
    <row r="13" spans="1:10" x14ac:dyDescent="0.2">
      <c r="A13" t="s">
        <v>346</v>
      </c>
      <c r="B13" t="s">
        <v>423</v>
      </c>
      <c r="C13" t="s">
        <v>424</v>
      </c>
    </row>
    <row r="14" spans="1:10" x14ac:dyDescent="0.2">
      <c r="A14" t="s">
        <v>347</v>
      </c>
      <c r="B14" t="s">
        <v>334</v>
      </c>
      <c r="C14" t="s">
        <v>335</v>
      </c>
    </row>
    <row r="15" spans="1:10" x14ac:dyDescent="0.2">
      <c r="A15" t="s">
        <v>265</v>
      </c>
      <c r="B15" t="s">
        <v>336</v>
      </c>
      <c r="C15" t="s">
        <v>337</v>
      </c>
    </row>
    <row r="16" spans="1:10" x14ac:dyDescent="0.2">
      <c r="A16" t="s">
        <v>348</v>
      </c>
      <c r="B16" t="s">
        <v>338</v>
      </c>
      <c r="C16" t="s">
        <v>339</v>
      </c>
    </row>
    <row r="17" spans="1:3" x14ac:dyDescent="0.2">
      <c r="A17" t="s">
        <v>247</v>
      </c>
      <c r="B17" t="s">
        <v>340</v>
      </c>
      <c r="C17" t="s">
        <v>341</v>
      </c>
    </row>
    <row r="18" spans="1:3" x14ac:dyDescent="0.2">
      <c r="A18" t="s">
        <v>349</v>
      </c>
      <c r="B18" t="s">
        <v>342</v>
      </c>
      <c r="C18" t="s">
        <v>343</v>
      </c>
    </row>
    <row r="19" spans="1:3" x14ac:dyDescent="0.2">
      <c r="A19" t="s">
        <v>264</v>
      </c>
      <c r="B19" t="s">
        <v>344</v>
      </c>
      <c r="C19" t="s">
        <v>345</v>
      </c>
    </row>
    <row r="21" spans="1:3" x14ac:dyDescent="0.2">
      <c r="A21" t="s">
        <v>476</v>
      </c>
    </row>
    <row r="22" spans="1:3" x14ac:dyDescent="0.2">
      <c r="A22" t="s">
        <v>466</v>
      </c>
    </row>
    <row r="40" spans="1:6" x14ac:dyDescent="0.2">
      <c r="A40" t="s">
        <v>475</v>
      </c>
    </row>
    <row r="41" spans="1:6" x14ac:dyDescent="0.2">
      <c r="A41" s="105" t="s">
        <v>431</v>
      </c>
      <c r="B41" s="105" t="s">
        <v>433</v>
      </c>
      <c r="C41" s="105" t="s">
        <v>434</v>
      </c>
      <c r="D41" s="105" t="s">
        <v>435</v>
      </c>
      <c r="E41" s="105" t="s">
        <v>436</v>
      </c>
      <c r="F41" s="105" t="s">
        <v>480</v>
      </c>
    </row>
    <row r="42" spans="1:6" x14ac:dyDescent="0.2">
      <c r="A42" s="105">
        <v>1.8</v>
      </c>
      <c r="B42" s="105">
        <v>2.5</v>
      </c>
      <c r="C42" s="105">
        <v>2.5</v>
      </c>
      <c r="D42" s="105">
        <v>2.2000000000000002</v>
      </c>
      <c r="E42" s="105" t="s">
        <v>427</v>
      </c>
    </row>
    <row r="43" spans="1:6" x14ac:dyDescent="0.2">
      <c r="A43" t="s">
        <v>477</v>
      </c>
      <c r="C43" s="8"/>
    </row>
    <row r="44" spans="1:6" x14ac:dyDescent="0.2">
      <c r="A44" t="s">
        <v>482</v>
      </c>
    </row>
    <row r="45" spans="1:6" x14ac:dyDescent="0.2">
      <c r="A45" t="s">
        <v>8</v>
      </c>
    </row>
    <row r="47" spans="1:6" x14ac:dyDescent="0.2">
      <c r="A47" s="108" t="s">
        <v>478</v>
      </c>
    </row>
    <row r="49" spans="1:1" x14ac:dyDescent="0.2">
      <c r="A49" t="s">
        <v>479</v>
      </c>
    </row>
    <row r="50" spans="1:1" x14ac:dyDescent="0.2">
      <c r="A50" t="s">
        <v>439</v>
      </c>
    </row>
    <row r="51" spans="1:1" x14ac:dyDescent="0.2">
      <c r="A51" t="s">
        <v>440</v>
      </c>
    </row>
    <row r="52" spans="1:1" x14ac:dyDescent="0.2">
      <c r="A52" t="s">
        <v>441</v>
      </c>
    </row>
    <row r="53" spans="1:1" x14ac:dyDescent="0.2">
      <c r="A53" t="s">
        <v>442</v>
      </c>
    </row>
    <row r="54" spans="1:1" x14ac:dyDescent="0.2">
      <c r="A54" t="s">
        <v>443</v>
      </c>
    </row>
    <row r="55" spans="1:1" x14ac:dyDescent="0.2">
      <c r="A55" t="s">
        <v>444</v>
      </c>
    </row>
    <row r="56" spans="1:1" x14ac:dyDescent="0.2">
      <c r="A56" t="s">
        <v>445</v>
      </c>
    </row>
    <row r="57" spans="1:1" x14ac:dyDescent="0.2">
      <c r="A57" t="s">
        <v>446</v>
      </c>
    </row>
    <row r="58" spans="1:1" x14ac:dyDescent="0.2">
      <c r="A58" t="s">
        <v>447</v>
      </c>
    </row>
    <row r="59" spans="1:1" x14ac:dyDescent="0.2">
      <c r="A59" t="s">
        <v>448</v>
      </c>
    </row>
    <row r="60" spans="1:1" x14ac:dyDescent="0.2">
      <c r="A60" t="s">
        <v>449</v>
      </c>
    </row>
    <row r="61" spans="1:1" x14ac:dyDescent="0.2">
      <c r="A61" t="s">
        <v>450</v>
      </c>
    </row>
    <row r="62" spans="1:1" x14ac:dyDescent="0.2">
      <c r="A62" t="s">
        <v>451</v>
      </c>
    </row>
    <row r="63" spans="1:1" x14ac:dyDescent="0.2">
      <c r="A63" t="s">
        <v>452</v>
      </c>
    </row>
    <row r="64" spans="1:1" x14ac:dyDescent="0.2">
      <c r="A64" t="s">
        <v>453</v>
      </c>
    </row>
    <row r="65" spans="1:1" x14ac:dyDescent="0.2">
      <c r="A65" t="s">
        <v>454</v>
      </c>
    </row>
    <row r="67" spans="1:1" x14ac:dyDescent="0.2">
      <c r="A67" t="s">
        <v>467</v>
      </c>
    </row>
    <row r="95" spans="1:12" x14ac:dyDescent="0.2">
      <c r="A95" t="s">
        <v>481</v>
      </c>
    </row>
    <row r="96" spans="1:12" x14ac:dyDescent="0.2">
      <c r="A96" t="s">
        <v>399</v>
      </c>
      <c r="B96" t="s">
        <v>430</v>
      </c>
      <c r="C96" t="s">
        <v>431</v>
      </c>
      <c r="D96" t="s">
        <v>432</v>
      </c>
      <c r="E96" t="s">
        <v>433</v>
      </c>
      <c r="F96" t="s">
        <v>434</v>
      </c>
      <c r="G96" t="s">
        <v>435</v>
      </c>
      <c r="H96" t="s">
        <v>436</v>
      </c>
      <c r="I96">
        <v>7</v>
      </c>
      <c r="J96">
        <v>8</v>
      </c>
      <c r="L96" s="105" t="s">
        <v>480</v>
      </c>
    </row>
    <row r="97" spans="1:10" x14ac:dyDescent="0.2">
      <c r="A97">
        <v>1970</v>
      </c>
      <c r="B97">
        <v>1.1000000000000001</v>
      </c>
      <c r="C97">
        <v>1.7</v>
      </c>
      <c r="D97">
        <v>2.4</v>
      </c>
      <c r="E97">
        <v>3.2</v>
      </c>
      <c r="F97">
        <v>4.8</v>
      </c>
      <c r="G97" t="s">
        <v>428</v>
      </c>
      <c r="H97" t="s">
        <v>428</v>
      </c>
      <c r="I97" t="s">
        <v>428</v>
      </c>
      <c r="J97" t="s">
        <v>428</v>
      </c>
    </row>
    <row r="98" spans="1:10" x14ac:dyDescent="0.2">
      <c r="A98">
        <v>1980</v>
      </c>
      <c r="B98">
        <v>0.8</v>
      </c>
      <c r="C98">
        <v>1.1000000000000001</v>
      </c>
      <c r="D98">
        <v>1.6</v>
      </c>
      <c r="E98">
        <v>2.2000000000000002</v>
      </c>
      <c r="F98">
        <v>4</v>
      </c>
      <c r="G98">
        <v>7</v>
      </c>
      <c r="H98" t="s">
        <v>428</v>
      </c>
    </row>
    <row r="99" spans="1:10" x14ac:dyDescent="0.2">
      <c r="A99" s="108">
        <v>1990</v>
      </c>
      <c r="B99" s="108">
        <v>1.1000000000000001</v>
      </c>
      <c r="C99" s="108">
        <v>1.4</v>
      </c>
      <c r="D99" s="108">
        <v>1.8</v>
      </c>
      <c r="E99" s="108">
        <v>2.2000000000000002</v>
      </c>
      <c r="F99" s="108">
        <v>3.2</v>
      </c>
      <c r="G99" s="108">
        <v>4.2</v>
      </c>
      <c r="H99" s="108">
        <v>6</v>
      </c>
    </row>
    <row r="100" spans="1:10" x14ac:dyDescent="0.2">
      <c r="A100">
        <v>2000</v>
      </c>
      <c r="B100">
        <v>0.8</v>
      </c>
      <c r="C100">
        <v>1.1000000000000001</v>
      </c>
      <c r="D100">
        <v>1.5</v>
      </c>
      <c r="E100">
        <v>1.8</v>
      </c>
      <c r="F100">
        <v>2.6</v>
      </c>
      <c r="G100">
        <v>3.5</v>
      </c>
      <c r="H100">
        <v>4.5999999999999996</v>
      </c>
      <c r="I100">
        <v>5.6</v>
      </c>
      <c r="J100">
        <v>6.4</v>
      </c>
    </row>
    <row r="101" spans="1:10" x14ac:dyDescent="0.2">
      <c r="A101">
        <v>2010</v>
      </c>
      <c r="B101">
        <v>0.8</v>
      </c>
      <c r="C101">
        <v>1</v>
      </c>
      <c r="D101">
        <v>1.2</v>
      </c>
      <c r="E101">
        <v>1.4</v>
      </c>
      <c r="F101">
        <v>2</v>
      </c>
      <c r="G101">
        <v>2.6</v>
      </c>
      <c r="H101">
        <v>3.4</v>
      </c>
      <c r="I101">
        <v>4.4000000000000004</v>
      </c>
      <c r="J101">
        <v>5.8</v>
      </c>
    </row>
    <row r="102" spans="1:10" x14ac:dyDescent="0.2">
      <c r="A102">
        <v>2020</v>
      </c>
      <c r="B102">
        <v>0.8</v>
      </c>
      <c r="C102">
        <v>0.9</v>
      </c>
      <c r="D102">
        <v>1</v>
      </c>
      <c r="E102">
        <v>1.1000000000000001</v>
      </c>
      <c r="F102">
        <v>1.6</v>
      </c>
      <c r="G102">
        <v>2.4</v>
      </c>
      <c r="H102">
        <v>2.8</v>
      </c>
      <c r="I102">
        <v>3.4</v>
      </c>
      <c r="J102" t="s">
        <v>429</v>
      </c>
    </row>
    <row r="104" spans="1:10" x14ac:dyDescent="0.2">
      <c r="A104" t="s">
        <v>482</v>
      </c>
    </row>
    <row r="105" spans="1:10" x14ac:dyDescent="0.2">
      <c r="A105" t="s">
        <v>13</v>
      </c>
    </row>
  </sheetData>
  <mergeCells count="2">
    <mergeCell ref="A1:F3"/>
    <mergeCell ref="A8:I8"/>
  </mergeCells>
  <pageMargins left="0.7" right="0.7" top="0.78740157499999996" bottom="0.78740157499999996" header="0.3" footer="0.3"/>
  <pageSetup paperSize="9"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001189-C4F8-4944-B1B3-1028292F991E}">
  <dimension ref="A1:E29"/>
  <sheetViews>
    <sheetView topLeftCell="A9" zoomScale="68" workbookViewId="0">
      <selection activeCell="E21" sqref="E21"/>
    </sheetView>
  </sheetViews>
  <sheetFormatPr baseColWidth="10" defaultRowHeight="15" x14ac:dyDescent="0.2"/>
  <cols>
    <col min="1" max="1" width="53.5" customWidth="1"/>
    <col min="2" max="2" width="17.33203125" customWidth="1"/>
    <col min="3" max="3" width="41.33203125" bestFit="1" customWidth="1"/>
    <col min="4" max="4" width="53.83203125" bestFit="1" customWidth="1"/>
    <col min="5" max="5" width="72.83203125" bestFit="1" customWidth="1"/>
    <col min="6" max="6" width="34.1640625" customWidth="1"/>
    <col min="8" max="10" width="10.6640625" customWidth="1"/>
  </cols>
  <sheetData>
    <row r="1" spans="1:5" x14ac:dyDescent="0.2">
      <c r="A1" s="8" t="s">
        <v>245</v>
      </c>
    </row>
    <row r="3" spans="1:5" ht="16" thickBot="1" x14ac:dyDescent="0.25"/>
    <row r="4" spans="1:5" ht="26.5" customHeight="1" thickBot="1" x14ac:dyDescent="0.25">
      <c r="A4" s="9" t="s">
        <v>261</v>
      </c>
      <c r="B4" s="9" t="s">
        <v>262</v>
      </c>
      <c r="C4" s="9" t="s">
        <v>263</v>
      </c>
      <c r="D4" s="10" t="s">
        <v>4</v>
      </c>
      <c r="E4" s="90" t="s">
        <v>276</v>
      </c>
    </row>
    <row r="5" spans="1:5" ht="33" customHeight="1" thickTop="1" x14ac:dyDescent="0.2">
      <c r="A5" s="53" t="s">
        <v>254</v>
      </c>
      <c r="B5" s="53" t="s">
        <v>255</v>
      </c>
      <c r="C5" s="54" t="s">
        <v>256</v>
      </c>
      <c r="D5" s="55" t="s">
        <v>244</v>
      </c>
      <c r="E5" s="91" t="s">
        <v>279</v>
      </c>
    </row>
    <row r="6" spans="1:5" ht="33.5" customHeight="1" thickBot="1" x14ac:dyDescent="0.25">
      <c r="A6" s="57"/>
      <c r="B6" s="57"/>
      <c r="C6" s="58" t="s">
        <v>257</v>
      </c>
      <c r="D6" s="59"/>
      <c r="E6" s="91"/>
    </row>
    <row r="7" spans="1:5" ht="31" thickBot="1" x14ac:dyDescent="0.25">
      <c r="A7" s="66" t="s">
        <v>258</v>
      </c>
      <c r="B7" s="66" t="s">
        <v>259</v>
      </c>
      <c r="C7" s="66" t="s">
        <v>260</v>
      </c>
      <c r="D7" s="66" t="s">
        <v>252</v>
      </c>
      <c r="E7" s="67" t="s">
        <v>279</v>
      </c>
    </row>
    <row r="8" spans="1:5" ht="16" customHeight="1" x14ac:dyDescent="0.2">
      <c r="A8" s="60" t="s">
        <v>264</v>
      </c>
      <c r="B8" s="60" t="s">
        <v>269</v>
      </c>
      <c r="C8" s="61" t="s">
        <v>272</v>
      </c>
      <c r="D8" s="62" t="s">
        <v>253</v>
      </c>
      <c r="E8" s="91" t="s">
        <v>279</v>
      </c>
    </row>
    <row r="9" spans="1:5" ht="30.5" customHeight="1" thickBot="1" x14ac:dyDescent="0.25">
      <c r="A9" s="57"/>
      <c r="B9" s="57"/>
      <c r="C9" s="63" t="s">
        <v>273</v>
      </c>
      <c r="D9" s="64"/>
      <c r="E9" s="92"/>
    </row>
    <row r="10" spans="1:5" ht="31" thickBot="1" x14ac:dyDescent="0.25">
      <c r="A10" s="66" t="s">
        <v>265</v>
      </c>
      <c r="B10" s="66" t="s">
        <v>259</v>
      </c>
      <c r="C10" s="66" t="s">
        <v>260</v>
      </c>
      <c r="D10" s="66" t="s">
        <v>248</v>
      </c>
      <c r="E10" s="67" t="s">
        <v>279</v>
      </c>
    </row>
    <row r="11" spans="1:5" ht="17" thickBot="1" x14ac:dyDescent="0.25">
      <c r="A11" s="65" t="s">
        <v>266</v>
      </c>
      <c r="B11" s="65" t="s">
        <v>270</v>
      </c>
      <c r="C11" s="65" t="s">
        <v>274</v>
      </c>
      <c r="D11" s="65" t="s">
        <v>246</v>
      </c>
      <c r="E11" s="56" t="s">
        <v>279</v>
      </c>
    </row>
    <row r="12" spans="1:5" ht="31" thickBot="1" x14ac:dyDescent="0.25">
      <c r="A12" s="66" t="s">
        <v>247</v>
      </c>
      <c r="B12" s="66" t="s">
        <v>270</v>
      </c>
      <c r="C12" s="66" t="s">
        <v>274</v>
      </c>
      <c r="D12" s="66" t="s">
        <v>249</v>
      </c>
      <c r="E12" s="67" t="s">
        <v>279</v>
      </c>
    </row>
    <row r="13" spans="1:5" ht="16" thickBot="1" x14ac:dyDescent="0.25">
      <c r="A13" s="65" t="s">
        <v>267</v>
      </c>
      <c r="B13" s="65" t="s">
        <v>270</v>
      </c>
      <c r="C13" s="65" t="s">
        <v>274</v>
      </c>
      <c r="D13" s="65" t="s">
        <v>251</v>
      </c>
      <c r="E13" s="65" t="s">
        <v>277</v>
      </c>
    </row>
    <row r="14" spans="1:5" ht="81" thickBot="1" x14ac:dyDescent="0.25">
      <c r="A14" s="66" t="s">
        <v>268</v>
      </c>
      <c r="B14" s="66" t="s">
        <v>271</v>
      </c>
      <c r="C14" s="66" t="s">
        <v>275</v>
      </c>
      <c r="D14" s="66" t="s">
        <v>250</v>
      </c>
      <c r="E14" s="68" t="s">
        <v>278</v>
      </c>
    </row>
    <row r="17" spans="1:4" x14ac:dyDescent="0.2">
      <c r="B17" t="s">
        <v>327</v>
      </c>
    </row>
    <row r="18" spans="1:4" x14ac:dyDescent="0.2">
      <c r="A18" s="70" t="s">
        <v>325</v>
      </c>
      <c r="B18" s="69" t="s">
        <v>324</v>
      </c>
      <c r="C18" s="69"/>
      <c r="D18" s="69"/>
    </row>
    <row r="19" spans="1:4" x14ac:dyDescent="0.2">
      <c r="A19" s="70" t="s">
        <v>322</v>
      </c>
      <c r="B19" s="69" t="s">
        <v>323</v>
      </c>
      <c r="C19" s="69"/>
      <c r="D19" s="69"/>
    </row>
    <row r="20" spans="1:4" x14ac:dyDescent="0.2">
      <c r="A20" s="11"/>
    </row>
    <row r="21" spans="1:4" x14ac:dyDescent="0.2">
      <c r="A21" s="71" t="s">
        <v>325</v>
      </c>
      <c r="B21" s="70">
        <f>0.64 * 3.5 + 0.36 * 5</f>
        <v>4.04</v>
      </c>
    </row>
    <row r="22" spans="1:4" x14ac:dyDescent="0.2">
      <c r="A22" s="71" t="s">
        <v>326</v>
      </c>
      <c r="B22" s="75">
        <f>0.91 * 3 + 0.033 * 2.5 + 0.015 * 3 + 0.015 * 4+ 0.007* 3.5</f>
        <v>2.9420000000000002</v>
      </c>
    </row>
    <row r="23" spans="1:4" x14ac:dyDescent="0.2">
      <c r="A23" s="71" t="s">
        <v>328</v>
      </c>
      <c r="B23" s="72">
        <f>SUM(B21,B22 )</f>
        <v>6.9820000000000002</v>
      </c>
    </row>
    <row r="24" spans="1:4" x14ac:dyDescent="0.2">
      <c r="A24" s="71" t="s">
        <v>331</v>
      </c>
      <c r="B24">
        <f>B23/100</f>
        <v>6.9820000000000007E-2</v>
      </c>
    </row>
    <row r="25" spans="1:4" x14ac:dyDescent="0.2">
      <c r="A25" s="71" t="s">
        <v>329</v>
      </c>
      <c r="B25" s="74">
        <f>B21/B24</f>
        <v>57.863076482383264</v>
      </c>
    </row>
    <row r="26" spans="1:4" x14ac:dyDescent="0.2">
      <c r="A26" s="70" t="s">
        <v>330</v>
      </c>
      <c r="B26" s="74">
        <f>ROUND(B22/B24, 3)</f>
        <v>42.137</v>
      </c>
    </row>
    <row r="27" spans="1:4" x14ac:dyDescent="0.2">
      <c r="A27" s="11"/>
    </row>
    <row r="28" spans="1:4" x14ac:dyDescent="0.2">
      <c r="A28" s="11"/>
    </row>
    <row r="29" spans="1:4" x14ac:dyDescent="0.2">
      <c r="A29" s="11"/>
    </row>
  </sheetData>
  <mergeCells count="10">
    <mergeCell ref="B19:D19"/>
    <mergeCell ref="B18:D18"/>
    <mergeCell ref="E5:E6"/>
    <mergeCell ref="E8:E9"/>
    <mergeCell ref="A5:A6"/>
    <mergeCell ref="B5:B6"/>
    <mergeCell ref="A8:A9"/>
    <mergeCell ref="B8:B9"/>
    <mergeCell ref="D5:D6"/>
    <mergeCell ref="D8:D9"/>
  </mergeCells>
  <hyperlinks>
    <hyperlink ref="D5" r:id="rId1" display="https://www.spektrum.de/lexikon/geowissenschaften/bauxitlagerstaetten/1494" xr:uid="{8A375F37-DFFD-4A83-87F3-BCB81585DD69}"/>
    <hyperlink ref="D10" r:id="rId2" display="https://institut-seltene-erden.de/seltene-erden-und-metalle/strategische-metalle-2/mangan/" xr:uid="{D6015A14-A337-409A-B2DE-50574752AC5C}"/>
    <hyperlink ref="D12" r:id="rId3" display="https://elementummetals.com/de/articles/nickel-die-alte-wirtschaft-aufbauen-die-neue-antreiben" xr:uid="{4432D157-3C26-4E1E-8AC5-6EF733F675E8}"/>
    <hyperlink ref="D14" r:id="rId4" display="https://www.erdoelmuseum.de/technik/41-gewinnung-von-erdoel-und-erdgas" xr:uid="{F19F4894-2F6D-4EEB-B211-F8982E5ABB07}"/>
    <hyperlink ref="D13" r:id="rId5" location=":~:text=Untertagebau,Luftverschmutzung%20und%20zum%20Klimawandel%20beitr%C3%A4gt." display="https://www.vattenfall.de/glossar/kohle - :~:text=Untertagebau,Luftverschmutzung%20und%20zum%20Klimawandel%20beitr%C3%A4gt." xr:uid="{D400CB32-082A-454C-8E1D-E96BDDC0A708}"/>
    <hyperlink ref="D11" r:id="rId6" location=":~:text=Das%20gef%C3%B6rderte%20Chromiterz%20wird%20vom,2O3%20+%208%20CO&amp;text=Das%20Natriumchromat%20wird%20mit%20hei%C3%9Fem,bei%202800%20%C2%B0C%20erzeugt." display="https://www.chemie.de/lexikon/Chrom.html - :~:text=Das%20gef%C3%B6rderte%20Chromiterz%20wird%20vom,2O3%20+%208%20CO&amp;text=Das%20Natriumchromat%20wird%20mit%20hei%C3%9Fem,bei%202800%20%C2%B0C%20erzeugt." xr:uid="{E80B16F0-2DED-4D33-8BA1-C85E9E1A4CE9}"/>
    <hyperlink ref="D7" r:id="rId7" location=":~:text=4.,das%20Eisenerz%20mit%20Erdbewegungsmaschinen%20gewonnen." display="https://www.prominetech.com/de/news/how-is-iron-ore-mined-a-step-by-step-process-explained/ - :~:text=4.,das%20Eisenerz%20mit%20Erdbewegungsmaschinen%20gewonnen." xr:uid="{240DFABF-584A-4B42-AE2E-505D7A411A45}"/>
    <hyperlink ref="D8" r:id="rId8" display="https://kupfer.de/kupferwerkstoffe/kupfer/produktionsprozesse/gewinnung/" xr:uid="{67DAC0D4-0016-4198-9CDE-F8243DD5FC9C}"/>
    <hyperlink ref="E13" r:id="rId9" display="https://www.encyclopedie-energie.org/en/world-energy-consumption-1800-2000-results/" xr:uid="{CFEFBD30-9EB2-40A8-8937-50C9B8C554F2}"/>
    <hyperlink ref="E5" r:id="rId10" xr:uid="{081A919E-1A64-472F-ABD2-9DB13611BCA8}"/>
    <hyperlink ref="E7" r:id="rId11" xr:uid="{74A18BA3-A463-474A-BAE8-4CA1BB4BA439}"/>
    <hyperlink ref="E8" r:id="rId12" xr:uid="{93473E99-38D2-42F5-97C5-02AC079D6A84}"/>
    <hyperlink ref="E10" r:id="rId13" xr:uid="{A9224553-EFF6-4003-BA79-DA7A65FEF8C8}"/>
    <hyperlink ref="E11" r:id="rId14" xr:uid="{B0D10D97-D5EF-4C30-BFE2-6BAE15D4D60D}"/>
    <hyperlink ref="E12" r:id="rId15" xr:uid="{A5186B9F-14A1-44EC-BC37-3E5E2B7F4FA2}"/>
  </hyperlinks>
  <pageMargins left="0.7" right="0.7" top="0.78740157499999996" bottom="0.78740157499999996" header="0.3" footer="0.3"/>
  <drawing r:id="rId16"/>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254d542d-4971-489c-9d97-e63cab41e6f7" xsi:nil="true"/>
    <lcf76f155ced4ddcb4097134ff3c332f xmlns="27357d9f-c284-4397-bbcb-7d6e2875fbe8">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kument" ma:contentTypeID="0x010100219A6FD908C0AB47AE22E4AA488F973D" ma:contentTypeVersion="12" ma:contentTypeDescription="Ein neues Dokument erstellen." ma:contentTypeScope="" ma:versionID="f54020ae394a76138cceb9af81ba08d9">
  <xsd:schema xmlns:xsd="http://www.w3.org/2001/XMLSchema" xmlns:xs="http://www.w3.org/2001/XMLSchema" xmlns:p="http://schemas.microsoft.com/office/2006/metadata/properties" xmlns:ns2="27357d9f-c284-4397-bbcb-7d6e2875fbe8" xmlns:ns3="254d542d-4971-489c-9d97-e63cab41e6f7" targetNamespace="http://schemas.microsoft.com/office/2006/metadata/properties" ma:root="true" ma:fieldsID="5f01b56de46fc07b7c4c4a4680e64174" ns2:_="" ns3:_="">
    <xsd:import namespace="27357d9f-c284-4397-bbcb-7d6e2875fbe8"/>
    <xsd:import namespace="254d542d-4971-489c-9d97-e63cab41e6f7"/>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Locatio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27357d9f-c284-4397-bbcb-7d6e2875fbe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Bildmarkierungen" ma:readOnly="false" ma:fieldId="{5cf76f15-5ced-4ddc-b409-7134ff3c332f}" ma:taxonomyMulti="true" ma:sspId="14f4afa6-d477-4e7f-9106-51509c4efdc5"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Location" ma:index="16" nillable="true" ma:displayName="Location" ma:indexed="true" ma:internalName="MediaServiceLocation"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254d542d-4971-489c-9d97-e63cab41e6f7"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eecd0140-e16c-43a7-845b-8a70a42f3208}" ma:internalName="TaxCatchAll" ma:showField="CatchAllData" ma:web="254d542d-4971-489c-9d97-e63cab41e6f7">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873E983C-5A47-4A8E-89ED-D40E68A9E61A}">
  <ds:schemaRefs>
    <ds:schemaRef ds:uri="254d542d-4971-489c-9d97-e63cab41e6f7"/>
    <ds:schemaRef ds:uri="http://purl.org/dc/terms/"/>
    <ds:schemaRef ds:uri="http://www.w3.org/XML/1998/namespace"/>
    <ds:schemaRef ds:uri="http://purl.org/dc/elements/1.1/"/>
    <ds:schemaRef ds:uri="http://schemas.microsoft.com/office/2006/documentManagement/types"/>
    <ds:schemaRef ds:uri="http://schemas.openxmlformats.org/package/2006/metadata/core-properties"/>
    <ds:schemaRef ds:uri="http://purl.org/dc/dcmitype/"/>
    <ds:schemaRef ds:uri="http://schemas.microsoft.com/office/infopath/2007/PartnerControls"/>
    <ds:schemaRef ds:uri="27357d9f-c284-4397-bbcb-7d6e2875fbe8"/>
    <ds:schemaRef ds:uri="http://schemas.microsoft.com/office/2006/metadata/properties"/>
  </ds:schemaRefs>
</ds:datastoreItem>
</file>

<file path=customXml/itemProps2.xml><?xml version="1.0" encoding="utf-8"?>
<ds:datastoreItem xmlns:ds="http://schemas.openxmlformats.org/officeDocument/2006/customXml" ds:itemID="{7053B6F6-CF70-4E14-B038-B7F86CA2F14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27357d9f-c284-4397-bbcb-7d6e2875fbe8"/>
    <ds:schemaRef ds:uri="254d542d-4971-489c-9d97-e63cab41e6f7"/>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11473DE-5721-4E7F-9D14-8F1014D552B6}">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TotalTime>0</TotalTime>
  <Application>Microsoft Macintosh Excel</Application>
  <DocSecurity>0</DocSecurity>
  <ScaleCrop>false</ScaleCrop>
  <HeadingPairs>
    <vt:vector size="2" baseType="variant">
      <vt:variant>
        <vt:lpstr>Arbeitsblätter</vt:lpstr>
      </vt:variant>
      <vt:variant>
        <vt:i4>8</vt:i4>
      </vt:variant>
    </vt:vector>
  </HeadingPairs>
  <TitlesOfParts>
    <vt:vector size="8" baseType="lpstr">
      <vt:lpstr>Disclaimer</vt:lpstr>
      <vt:lpstr>Overview of variables</vt:lpstr>
      <vt:lpstr>Share of recyclable materials</vt:lpstr>
      <vt:lpstr>ECRR</vt:lpstr>
      <vt:lpstr>Material intesity RE extension</vt:lpstr>
      <vt:lpstr>LCOE Table</vt:lpstr>
      <vt:lpstr>PCRUMT</vt:lpstr>
      <vt:lpstr>Fraction of capital allocated t</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Oliver Dubbel (odubbel)</dc:creator>
  <cp:keywords/>
  <dc:description/>
  <cp:lastModifiedBy>Richard Maximilian Gönnheimer (rgoennhe)</cp:lastModifiedBy>
  <cp:revision/>
  <dcterms:created xsi:type="dcterms:W3CDTF">2025-07-02T00:55:23Z</dcterms:created>
  <dcterms:modified xsi:type="dcterms:W3CDTF">2025-09-22T20:21:38Z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0x010100219A6FD908C0AB47AE22E4AA488F973D</vt:lpwstr>
  </property>
  <property fmtid="{D5CDD505-2E9C-101B-9397-08002B2CF9AE}" pid="3" name="MediaServiceImageTags">
    <vt:lpwstr/>
  </property>
</Properties>
</file>